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veleyr1\Documents\A On the go\"/>
    </mc:Choice>
  </mc:AlternateContent>
  <bookViews>
    <workbookView xWindow="0" yWindow="0" windowWidth="19200" windowHeight="10935"/>
  </bookViews>
  <sheets>
    <sheet name="Advice and guidanc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H56" i="1"/>
  <c r="C8" i="1"/>
  <c r="C7" i="1"/>
  <c r="E56" i="1"/>
  <c r="M54" i="1"/>
  <c r="L53" i="1"/>
  <c r="F49" i="1"/>
  <c r="E48" i="1"/>
  <c r="L56" i="1"/>
  <c r="L55" i="1"/>
  <c r="F51" i="1"/>
  <c r="E50" i="1"/>
  <c r="M48" i="1"/>
  <c r="L47" i="1"/>
  <c r="F43" i="1"/>
  <c r="E42" i="1"/>
  <c r="M40" i="1"/>
  <c r="L39" i="1"/>
  <c r="F35" i="1"/>
  <c r="E34" i="1"/>
  <c r="M32" i="1"/>
  <c r="L31" i="1"/>
  <c r="F27" i="1"/>
  <c r="E26" i="1"/>
  <c r="L23" i="1"/>
  <c r="E51" i="1"/>
  <c r="L48" i="1"/>
  <c r="E43" i="1"/>
  <c r="M41" i="1"/>
  <c r="F36" i="1"/>
  <c r="M49" i="1"/>
  <c r="F44" i="1"/>
  <c r="L40" i="1"/>
  <c r="E35" i="1"/>
  <c r="M56" i="1"/>
  <c r="F55" i="1"/>
  <c r="F53" i="1"/>
  <c r="M47" i="1"/>
  <c r="L44" i="1"/>
  <c r="F40" i="1"/>
  <c r="L38" i="1"/>
  <c r="F34" i="1"/>
  <c r="L32" i="1"/>
  <c r="M28" i="1"/>
  <c r="E25" i="1"/>
  <c r="E21" i="1"/>
  <c r="L19" i="1"/>
  <c r="F15" i="1"/>
  <c r="E55" i="1"/>
  <c r="E53" i="1"/>
  <c r="M42" i="1"/>
  <c r="E40" i="1"/>
  <c r="M36" i="1"/>
  <c r="M33" i="1"/>
  <c r="L28" i="1"/>
  <c r="F26" i="1"/>
  <c r="F22" i="1"/>
  <c r="M20" i="1"/>
  <c r="E15" i="1"/>
  <c r="M13" i="1"/>
  <c r="L12" i="1"/>
  <c r="M45" i="1"/>
  <c r="L42" i="1"/>
  <c r="F38" i="1"/>
  <c r="F31" i="1"/>
  <c r="L20" i="1"/>
  <c r="F17" i="1"/>
  <c r="M14" i="1"/>
  <c r="L41" i="1"/>
  <c r="L35" i="1"/>
  <c r="E29" i="1"/>
  <c r="E13" i="1"/>
  <c r="L54" i="1"/>
  <c r="M50" i="1"/>
  <c r="M39" i="1"/>
  <c r="L36" i="1"/>
  <c r="L33" i="1"/>
  <c r="M29" i="1"/>
  <c r="M25" i="1"/>
  <c r="E22" i="1"/>
  <c r="L13" i="1"/>
  <c r="L51" i="1"/>
  <c r="M38" i="1"/>
  <c r="F21" i="1"/>
  <c r="L50" i="1"/>
  <c r="E49" i="1"/>
  <c r="F47" i="1"/>
  <c r="L45" i="1"/>
  <c r="E44" i="1"/>
  <c r="F41" i="1"/>
  <c r="E38" i="1"/>
  <c r="M34" i="1"/>
  <c r="E31" i="1"/>
  <c r="L29" i="1"/>
  <c r="E27" i="1"/>
  <c r="L25" i="1"/>
  <c r="F23" i="1"/>
  <c r="M21" i="1"/>
  <c r="F18" i="1"/>
  <c r="E17" i="1"/>
  <c r="M15" i="1"/>
  <c r="L14" i="1"/>
  <c r="M26" i="1"/>
  <c r="L21" i="1"/>
  <c r="F19" i="1"/>
  <c r="L15" i="1"/>
  <c r="M51" i="1"/>
  <c r="E39" i="1"/>
  <c r="M31" i="1"/>
  <c r="M27" i="1"/>
  <c r="L22" i="1"/>
  <c r="M18" i="1"/>
  <c r="E12" i="1"/>
  <c r="M44" i="1"/>
  <c r="E33" i="1"/>
  <c r="M23" i="1"/>
  <c r="F14" i="1"/>
  <c r="M12" i="1"/>
  <c r="F56" i="1"/>
  <c r="F54" i="1"/>
  <c r="E47" i="1"/>
  <c r="M43" i="1"/>
  <c r="E41" i="1"/>
  <c r="L34" i="1"/>
  <c r="F32" i="1"/>
  <c r="F28" i="1"/>
  <c r="E23" i="1"/>
  <c r="E18" i="1"/>
  <c r="F42" i="1"/>
  <c r="F33" i="1"/>
  <c r="L17" i="1"/>
  <c r="F13" i="1"/>
  <c r="L49" i="1"/>
  <c r="L27" i="1"/>
  <c r="F25" i="1"/>
  <c r="L18" i="1"/>
  <c r="E14" i="1"/>
  <c r="M55" i="1"/>
  <c r="E54" i="1"/>
  <c r="F45" i="1"/>
  <c r="L43" i="1"/>
  <c r="F39" i="1"/>
  <c r="E36" i="1"/>
  <c r="E32" i="1"/>
  <c r="E28" i="1"/>
  <c r="L26" i="1"/>
  <c r="M22" i="1"/>
  <c r="F20" i="1"/>
  <c r="E19" i="1"/>
  <c r="M17" i="1"/>
  <c r="F12" i="1"/>
  <c r="M53" i="1"/>
  <c r="F50" i="1"/>
  <c r="E45" i="1"/>
  <c r="M35" i="1"/>
  <c r="F29" i="1"/>
  <c r="E20" i="1"/>
  <c r="F48" i="1"/>
  <c r="M19" i="1"/>
  <c r="D67" i="1" l="1"/>
  <c r="G48" i="1"/>
  <c r="J48" i="1"/>
  <c r="I20" i="1"/>
  <c r="C68" i="1" s="1"/>
  <c r="J29" i="1"/>
  <c r="G29" i="1"/>
  <c r="D81" i="1"/>
  <c r="I45" i="1"/>
  <c r="C90" i="1" s="1"/>
  <c r="G50" i="1"/>
  <c r="J50" i="1"/>
  <c r="D96" i="1"/>
  <c r="M57" i="1"/>
  <c r="G12" i="1"/>
  <c r="F16" i="1"/>
  <c r="J12" i="1"/>
  <c r="M24" i="1"/>
  <c r="D65" i="1"/>
  <c r="I19" i="1"/>
  <c r="C67" i="1" s="1"/>
  <c r="G20" i="1"/>
  <c r="J20" i="1"/>
  <c r="D70" i="1"/>
  <c r="I28" i="1"/>
  <c r="C75" i="1" s="1"/>
  <c r="I32" i="1"/>
  <c r="C78" i="1" s="1"/>
  <c r="I36" i="1"/>
  <c r="C82" i="1" s="1"/>
  <c r="J39" i="1"/>
  <c r="G39" i="1"/>
  <c r="G45" i="1"/>
  <c r="J45" i="1"/>
  <c r="I54" i="1"/>
  <c r="C97" i="1" s="1"/>
  <c r="D98" i="1"/>
  <c r="I14" i="1"/>
  <c r="C63" i="1" s="1"/>
  <c r="F30" i="1"/>
  <c r="J25" i="1"/>
  <c r="G25" i="1"/>
  <c r="G13" i="1"/>
  <c r="J13" i="1"/>
  <c r="L24" i="1"/>
  <c r="J33" i="1"/>
  <c r="G33" i="1"/>
  <c r="J42" i="1"/>
  <c r="G42" i="1"/>
  <c r="I18" i="1"/>
  <c r="C66" i="1" s="1"/>
  <c r="I23" i="1"/>
  <c r="C71" i="1" s="1"/>
  <c r="G28" i="1"/>
  <c r="J28" i="1"/>
  <c r="J32" i="1"/>
  <c r="G32" i="1"/>
  <c r="I41" i="1"/>
  <c r="C86" i="1" s="1"/>
  <c r="D88" i="1"/>
  <c r="I47" i="1"/>
  <c r="C91" i="1" s="1"/>
  <c r="E52" i="1"/>
  <c r="J54" i="1"/>
  <c r="G54" i="1"/>
  <c r="J56" i="1"/>
  <c r="G56" i="1"/>
  <c r="D61" i="1"/>
  <c r="M16" i="1"/>
  <c r="G14" i="1"/>
  <c r="J14" i="1"/>
  <c r="D71" i="1"/>
  <c r="I33" i="1"/>
  <c r="C79" i="1" s="1"/>
  <c r="D89" i="1"/>
  <c r="E16" i="1"/>
  <c r="I12" i="1"/>
  <c r="C61" i="1" s="1"/>
  <c r="D66" i="1"/>
  <c r="D74" i="1"/>
  <c r="D77" i="1"/>
  <c r="M37" i="1"/>
  <c r="I39" i="1"/>
  <c r="C84" i="1" s="1"/>
  <c r="D95" i="1"/>
  <c r="G19" i="1"/>
  <c r="J19" i="1"/>
  <c r="D73" i="1"/>
  <c r="D64" i="1"/>
  <c r="I17" i="1"/>
  <c r="C65" i="1" s="1"/>
  <c r="E24" i="1"/>
  <c r="I24" i="1" s="1"/>
  <c r="J62" i="1" s="1"/>
  <c r="G18" i="1"/>
  <c r="J18" i="1"/>
  <c r="D69" i="1"/>
  <c r="J23" i="1"/>
  <c r="G23" i="1"/>
  <c r="L30" i="1"/>
  <c r="I27" i="1"/>
  <c r="C74" i="1" s="1"/>
  <c r="E37" i="1"/>
  <c r="I31" i="1"/>
  <c r="C77" i="1" s="1"/>
  <c r="D80" i="1"/>
  <c r="I38" i="1"/>
  <c r="C83" i="1" s="1"/>
  <c r="E46" i="1"/>
  <c r="I46" i="1" s="1"/>
  <c r="J65" i="1" s="1"/>
  <c r="J41" i="1"/>
  <c r="G41" i="1"/>
  <c r="I44" i="1"/>
  <c r="C89" i="1" s="1"/>
  <c r="F52" i="1"/>
  <c r="J47" i="1"/>
  <c r="G47" i="1"/>
  <c r="I49" i="1"/>
  <c r="C93" i="1" s="1"/>
  <c r="G21" i="1"/>
  <c r="J21" i="1"/>
  <c r="D83" i="1"/>
  <c r="M46" i="1"/>
  <c r="I22" i="1"/>
  <c r="C70" i="1" s="1"/>
  <c r="D72" i="1"/>
  <c r="M30" i="1"/>
  <c r="D76" i="1"/>
  <c r="D84" i="1"/>
  <c r="D94" i="1"/>
  <c r="I13" i="1"/>
  <c r="C62" i="1" s="1"/>
  <c r="I29" i="1"/>
  <c r="C76" i="1" s="1"/>
  <c r="D63" i="1"/>
  <c r="G17" i="1"/>
  <c r="J17" i="1"/>
  <c r="F24" i="1"/>
  <c r="G31" i="1"/>
  <c r="F37" i="1"/>
  <c r="J31" i="1"/>
  <c r="J38" i="1"/>
  <c r="F46" i="1"/>
  <c r="G38" i="1"/>
  <c r="D90" i="1"/>
  <c r="L16" i="1"/>
  <c r="D62" i="1"/>
  <c r="I15" i="1"/>
  <c r="C64" i="1" s="1"/>
  <c r="D68" i="1"/>
  <c r="J22" i="1"/>
  <c r="G22" i="1"/>
  <c r="G26" i="1"/>
  <c r="J26" i="1"/>
  <c r="D79" i="1"/>
  <c r="D82" i="1"/>
  <c r="I40" i="1"/>
  <c r="C85" i="1" s="1"/>
  <c r="D87" i="1"/>
  <c r="E57" i="1"/>
  <c r="I53" i="1"/>
  <c r="C96" i="1" s="1"/>
  <c r="I55" i="1"/>
  <c r="C98" i="1" s="1"/>
  <c r="G15" i="1"/>
  <c r="J15" i="1"/>
  <c r="I21" i="1"/>
  <c r="C69" i="1" s="1"/>
  <c r="E30" i="1"/>
  <c r="I30" i="1" s="1"/>
  <c r="J63" i="1" s="1"/>
  <c r="I25" i="1"/>
  <c r="C72" i="1" s="1"/>
  <c r="D75" i="1"/>
  <c r="G34" i="1"/>
  <c r="J34" i="1"/>
  <c r="L46" i="1"/>
  <c r="G40" i="1"/>
  <c r="J40" i="1"/>
  <c r="D91" i="1"/>
  <c r="M52" i="1"/>
  <c r="G53" i="1"/>
  <c r="F57" i="1"/>
  <c r="J53" i="1"/>
  <c r="J55" i="1"/>
  <c r="G55" i="1"/>
  <c r="D99" i="1"/>
  <c r="I35" i="1"/>
  <c r="C81" i="1" s="1"/>
  <c r="G44" i="1"/>
  <c r="J44" i="1"/>
  <c r="D93" i="1"/>
  <c r="G36" i="1"/>
  <c r="J36" i="1"/>
  <c r="D86" i="1"/>
  <c r="I43" i="1"/>
  <c r="C88" i="1" s="1"/>
  <c r="I51" i="1"/>
  <c r="C95" i="1" s="1"/>
  <c r="I26" i="1"/>
  <c r="C73" i="1" s="1"/>
  <c r="J27" i="1"/>
  <c r="G27" i="1"/>
  <c r="L37" i="1"/>
  <c r="D78" i="1"/>
  <c r="I34" i="1"/>
  <c r="C80" i="1" s="1"/>
  <c r="J35" i="1"/>
  <c r="G35" i="1"/>
  <c r="D85" i="1"/>
  <c r="I42" i="1"/>
  <c r="C87" i="1" s="1"/>
  <c r="G43" i="1"/>
  <c r="J43" i="1"/>
  <c r="L52" i="1"/>
  <c r="D92" i="1"/>
  <c r="I50" i="1"/>
  <c r="C94" i="1" s="1"/>
  <c r="J51" i="1"/>
  <c r="G51" i="1"/>
  <c r="I48" i="1"/>
  <c r="C92" i="1" s="1"/>
  <c r="J49" i="1"/>
  <c r="G49" i="1"/>
  <c r="L57" i="1"/>
  <c r="L58" i="1" s="1"/>
  <c r="D97" i="1"/>
  <c r="I56" i="1"/>
  <c r="C99" i="1" s="1"/>
  <c r="D152" i="1"/>
  <c r="D111" i="1"/>
  <c r="C152" i="1"/>
  <c r="C111" i="1"/>
  <c r="K40" i="1" l="1"/>
  <c r="E85" i="1"/>
  <c r="K42" i="1"/>
  <c r="E87" i="1"/>
  <c r="J30" i="1"/>
  <c r="G30" i="1"/>
  <c r="E64" i="1"/>
  <c r="K15" i="1"/>
  <c r="J24" i="1"/>
  <c r="G24" i="1"/>
  <c r="I16" i="1"/>
  <c r="J61" i="1" s="1"/>
  <c r="K12" i="1"/>
  <c r="E61" i="1"/>
  <c r="K55" i="1"/>
  <c r="E98" i="1"/>
  <c r="E65" i="1"/>
  <c r="K17" i="1"/>
  <c r="K18" i="1"/>
  <c r="E66" i="1"/>
  <c r="G16" i="1"/>
  <c r="J16" i="1"/>
  <c r="K43" i="1"/>
  <c r="E88" i="1"/>
  <c r="K53" i="1"/>
  <c r="E96" i="1"/>
  <c r="K34" i="1"/>
  <c r="E80" i="1"/>
  <c r="K47" i="1"/>
  <c r="E91" i="1"/>
  <c r="K28" i="1"/>
  <c r="E75" i="1"/>
  <c r="K29" i="1"/>
  <c r="E76" i="1"/>
  <c r="K19" i="1"/>
  <c r="E67" i="1"/>
  <c r="K36" i="1"/>
  <c r="E82" i="1"/>
  <c r="K26" i="1"/>
  <c r="E73" i="1"/>
  <c r="K32" i="1"/>
  <c r="E78" i="1"/>
  <c r="K33" i="1"/>
  <c r="E79" i="1"/>
  <c r="K49" i="1"/>
  <c r="E93" i="1"/>
  <c r="J57" i="1"/>
  <c r="F58" i="1"/>
  <c r="G57" i="1"/>
  <c r="J46" i="1"/>
  <c r="G46" i="1"/>
  <c r="J52" i="1"/>
  <c r="G52" i="1"/>
  <c r="I37" i="1"/>
  <c r="J64" i="1" s="1"/>
  <c r="K54" i="1"/>
  <c r="E97" i="1"/>
  <c r="E62" i="1"/>
  <c r="K13" i="1"/>
  <c r="K45" i="1"/>
  <c r="E90" i="1"/>
  <c r="K20" i="1"/>
  <c r="E68" i="1"/>
  <c r="M58" i="1"/>
  <c r="E99" i="1"/>
  <c r="K56" i="1"/>
  <c r="K27" i="1"/>
  <c r="E74" i="1"/>
  <c r="K44" i="1"/>
  <c r="E89" i="1"/>
  <c r="E58" i="1"/>
  <c r="I58" i="1" s="1"/>
  <c r="I57" i="1"/>
  <c r="J67" i="1" s="1"/>
  <c r="K22" i="1"/>
  <c r="E70" i="1"/>
  <c r="A70" i="1" s="1"/>
  <c r="K38" i="1"/>
  <c r="E83" i="1"/>
  <c r="E63" i="1"/>
  <c r="K14" i="1"/>
  <c r="I52" i="1"/>
  <c r="J66" i="1" s="1"/>
  <c r="K48" i="1"/>
  <c r="E92" i="1"/>
  <c r="K35" i="1"/>
  <c r="E81" i="1"/>
  <c r="K23" i="1"/>
  <c r="E71" i="1"/>
  <c r="K31" i="1"/>
  <c r="E77" i="1"/>
  <c r="K50" i="1"/>
  <c r="E94" i="1"/>
  <c r="K51" i="1"/>
  <c r="E95" i="1"/>
  <c r="G37" i="1"/>
  <c r="J37" i="1"/>
  <c r="K21" i="1"/>
  <c r="E69" i="1"/>
  <c r="K41" i="1"/>
  <c r="E86" i="1"/>
  <c r="K25" i="1"/>
  <c r="E72" i="1"/>
  <c r="K39" i="1"/>
  <c r="E84" i="1"/>
  <c r="A73" i="1" l="1"/>
  <c r="K57" i="1"/>
  <c r="K67" i="1"/>
  <c r="A99" i="1"/>
  <c r="J58" i="1"/>
  <c r="G58" i="1"/>
  <c r="A91" i="1"/>
  <c r="A61" i="1"/>
  <c r="K30" i="1"/>
  <c r="K63" i="1"/>
  <c r="A62" i="1"/>
  <c r="A94" i="1"/>
  <c r="A75" i="1"/>
  <c r="A69" i="1"/>
  <c r="A68" i="1"/>
  <c r="A82" i="1"/>
  <c r="K61" i="1"/>
  <c r="K16" i="1"/>
  <c r="A89" i="1"/>
  <c r="A87" i="1"/>
  <c r="A92" i="1"/>
  <c r="A88" i="1"/>
  <c r="A77" i="1"/>
  <c r="A84" i="1"/>
  <c r="K37" i="1"/>
  <c r="K64" i="1"/>
  <c r="A63" i="1"/>
  <c r="A90" i="1"/>
  <c r="K52" i="1"/>
  <c r="K66" i="1"/>
  <c r="A79" i="1"/>
  <c r="A67" i="1"/>
  <c r="A80" i="1"/>
  <c r="A66" i="1"/>
  <c r="A65" i="1"/>
  <c r="A97" i="1"/>
  <c r="A64" i="1"/>
  <c r="A93" i="1"/>
  <c r="A71" i="1"/>
  <c r="A83" i="1"/>
  <c r="A74" i="1"/>
  <c r="A85" i="1"/>
  <c r="A86" i="1"/>
  <c r="A98" i="1"/>
  <c r="A72" i="1"/>
  <c r="A95" i="1"/>
  <c r="A81" i="1"/>
  <c r="K46" i="1"/>
  <c r="K65" i="1"/>
  <c r="A78" i="1"/>
  <c r="A76" i="1"/>
  <c r="A96" i="1"/>
  <c r="K24" i="1"/>
  <c r="K62" i="1"/>
  <c r="G62" i="1" s="1"/>
  <c r="G66" i="1" l="1"/>
  <c r="E159" i="1"/>
  <c r="E144" i="1"/>
  <c r="E137" i="1"/>
  <c r="E128" i="1"/>
  <c r="E121" i="1"/>
  <c r="E112" i="1"/>
  <c r="E146" i="1"/>
  <c r="E139" i="1"/>
  <c r="E130" i="1"/>
  <c r="E123" i="1"/>
  <c r="E114" i="1"/>
  <c r="E154" i="1"/>
  <c r="E141" i="1"/>
  <c r="E132" i="1"/>
  <c r="E125" i="1"/>
  <c r="E156" i="1"/>
  <c r="E143" i="1"/>
  <c r="E134" i="1"/>
  <c r="E127" i="1"/>
  <c r="E118" i="1"/>
  <c r="E158" i="1"/>
  <c r="E145" i="1"/>
  <c r="E136" i="1"/>
  <c r="E129" i="1"/>
  <c r="E120" i="1"/>
  <c r="E113" i="1"/>
  <c r="E153" i="1"/>
  <c r="E147" i="1"/>
  <c r="E138" i="1"/>
  <c r="E131" i="1"/>
  <c r="E122" i="1"/>
  <c r="E115" i="1"/>
  <c r="E155" i="1"/>
  <c r="E140" i="1"/>
  <c r="E133" i="1"/>
  <c r="E124" i="1"/>
  <c r="E117" i="1"/>
  <c r="E157" i="1"/>
  <c r="E119" i="1"/>
  <c r="K58" i="1"/>
  <c r="E135" i="1"/>
  <c r="E116" i="1"/>
  <c r="E126" i="1"/>
  <c r="E14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C149" i="1"/>
  <c r="B147" i="1"/>
  <c r="C142" i="1"/>
  <c r="B140" i="1"/>
  <c r="D135" i="1"/>
  <c r="C133" i="1"/>
  <c r="B131" i="1"/>
  <c r="C126" i="1"/>
  <c r="B124" i="1"/>
  <c r="D119" i="1"/>
  <c r="C117" i="1"/>
  <c r="B115" i="1"/>
  <c r="B149" i="1"/>
  <c r="C144" i="1"/>
  <c r="B142" i="1"/>
  <c r="D137" i="1"/>
  <c r="C135" i="1"/>
  <c r="B133" i="1"/>
  <c r="C128" i="1"/>
  <c r="B126" i="1"/>
  <c r="D121" i="1"/>
  <c r="C119" i="1"/>
  <c r="B117" i="1"/>
  <c r="C112" i="1"/>
  <c r="C146" i="1"/>
  <c r="B144" i="1"/>
  <c r="D139" i="1"/>
  <c r="C137" i="1"/>
  <c r="B135" i="1"/>
  <c r="C130" i="1"/>
  <c r="B128" i="1"/>
  <c r="D123" i="1"/>
  <c r="C121" i="1"/>
  <c r="C148" i="1"/>
  <c r="B146" i="1"/>
  <c r="D141" i="1"/>
  <c r="C139" i="1"/>
  <c r="B137" i="1"/>
  <c r="C132" i="1"/>
  <c r="B130" i="1"/>
  <c r="D125" i="1"/>
  <c r="C123" i="1"/>
  <c r="B121" i="1"/>
  <c r="C116" i="1"/>
  <c r="B114" i="1"/>
  <c r="C150" i="1"/>
  <c r="B148" i="1"/>
  <c r="D143" i="1"/>
  <c r="C141" i="1"/>
  <c r="B139" i="1"/>
  <c r="C134" i="1"/>
  <c r="B132" i="1"/>
  <c r="D127" i="1"/>
  <c r="C125" i="1"/>
  <c r="B123" i="1"/>
  <c r="C118" i="1"/>
  <c r="B116" i="1"/>
  <c r="B150" i="1"/>
  <c r="D145" i="1"/>
  <c r="C143" i="1"/>
  <c r="B141" i="1"/>
  <c r="C136" i="1"/>
  <c r="B134" i="1"/>
  <c r="D129" i="1"/>
  <c r="C127" i="1"/>
  <c r="B125" i="1"/>
  <c r="C120" i="1"/>
  <c r="B118" i="1"/>
  <c r="D113" i="1"/>
  <c r="D147" i="1"/>
  <c r="C145" i="1"/>
  <c r="B143" i="1"/>
  <c r="C138" i="1"/>
  <c r="B136" i="1"/>
  <c r="D131" i="1"/>
  <c r="C129" i="1"/>
  <c r="B127" i="1"/>
  <c r="C122" i="1"/>
  <c r="B120" i="1"/>
  <c r="D115" i="1"/>
  <c r="C113" i="1"/>
  <c r="B138" i="1"/>
  <c r="B119" i="1"/>
  <c r="D133" i="1"/>
  <c r="D117" i="1"/>
  <c r="D149" i="1"/>
  <c r="C131" i="1"/>
  <c r="B112" i="1"/>
  <c r="C147" i="1"/>
  <c r="B129" i="1"/>
  <c r="C115" i="1"/>
  <c r="B122" i="1"/>
  <c r="B145" i="1"/>
  <c r="C114" i="1"/>
  <c r="C124" i="1"/>
  <c r="B113" i="1"/>
  <c r="C140" i="1"/>
  <c r="G67" i="1"/>
  <c r="G64" i="1"/>
  <c r="G63" i="1"/>
  <c r="G65" i="1"/>
  <c r="G61" i="1"/>
  <c r="B158" i="1" l="1"/>
  <c r="B156" i="1"/>
  <c r="B154" i="1"/>
  <c r="D157" i="1"/>
  <c r="C155" i="1"/>
  <c r="B153" i="1"/>
  <c r="D159" i="1"/>
  <c r="C157" i="1"/>
  <c r="B155" i="1"/>
  <c r="C159" i="1"/>
  <c r="B157" i="1"/>
  <c r="B159" i="1"/>
  <c r="D154" i="1"/>
  <c r="D156" i="1"/>
  <c r="C154" i="1"/>
  <c r="D158" i="1"/>
  <c r="C156" i="1"/>
  <c r="C158" i="1"/>
  <c r="D153" i="1"/>
  <c r="D155" i="1"/>
  <c r="C153" i="1"/>
  <c r="E148" i="1"/>
  <c r="E150" i="1"/>
  <c r="E149" i="1"/>
</calcChain>
</file>

<file path=xl/sharedStrings.xml><?xml version="1.0" encoding="utf-8"?>
<sst xmlns="http://schemas.openxmlformats.org/spreadsheetml/2006/main" count="159" uniqueCount="103">
  <si>
    <t>City &amp; Hackney Advice and Guidance Requests</t>
  </si>
  <si>
    <t>Time Periods</t>
  </si>
  <si>
    <t>T1</t>
  </si>
  <si>
    <t>Homerton</t>
  </si>
  <si>
    <t>T2</t>
  </si>
  <si>
    <t>A&amp;G Requests</t>
  </si>
  <si>
    <t>A&amp;G requests per 1000 population</t>
  </si>
  <si>
    <t>Click to Choose a different Trust</t>
  </si>
  <si>
    <t>Consortia</t>
  </si>
  <si>
    <t>Practice</t>
  </si>
  <si>
    <t>GpPractice</t>
  </si>
  <si>
    <t>% Change</t>
  </si>
  <si>
    <t>Change</t>
  </si>
  <si>
    <t>t1</t>
  </si>
  <si>
    <t>t2</t>
  </si>
  <si>
    <t>Clissold Park PCN</t>
  </si>
  <si>
    <t>Barton House Group Practice</t>
  </si>
  <si>
    <t>F84008</t>
  </si>
  <si>
    <t>Somerford Grove Practice</t>
  </si>
  <si>
    <t>F84033</t>
  </si>
  <si>
    <t>The Surgery (Barretts Grove)</t>
  </si>
  <si>
    <t>F84636</t>
  </si>
  <si>
    <t>The Surgery (Brooke Road)</t>
  </si>
  <si>
    <t>F84694</t>
  </si>
  <si>
    <t>Hackney Downs PCN</t>
  </si>
  <si>
    <t>The Nightingale Practice</t>
  </si>
  <si>
    <t>F84018</t>
  </si>
  <si>
    <t>Fountayne Road Health Centre</t>
  </si>
  <si>
    <t>F84080</t>
  </si>
  <si>
    <t>The Riverside Practice</t>
  </si>
  <si>
    <t>F84619</t>
  </si>
  <si>
    <t>The Clapton Surgery</t>
  </si>
  <si>
    <t>F84668</t>
  </si>
  <si>
    <t>The Elm Practice</t>
  </si>
  <si>
    <t>F84685</t>
  </si>
  <si>
    <t>Rosewood Practice</t>
  </si>
  <si>
    <t>F84711</t>
  </si>
  <si>
    <t>Healy Medical Centre</t>
  </si>
  <si>
    <t>F84720</t>
  </si>
  <si>
    <t>Hackney Marshes PCN</t>
  </si>
  <si>
    <t>Lower Clapton Group Practice</t>
  </si>
  <si>
    <t>F84003</t>
  </si>
  <si>
    <t>Athena Medical Centre</t>
  </si>
  <si>
    <t>F84060</t>
  </si>
  <si>
    <t>The Lea Surgery</t>
  </si>
  <si>
    <t>F84105</t>
  </si>
  <si>
    <t>Latimer Health Centre</t>
  </si>
  <si>
    <t>F84719</t>
  </si>
  <si>
    <t>Kingsmead Healthcare</t>
  </si>
  <si>
    <t>F84015</t>
  </si>
  <si>
    <t>London Fields PCN</t>
  </si>
  <si>
    <t>London Fields Medical Centre</t>
  </si>
  <si>
    <t>F84021</t>
  </si>
  <si>
    <t>Richmond Road Medical Centre</t>
  </si>
  <si>
    <t>F84035</t>
  </si>
  <si>
    <t>Beechwood Medical Centre</t>
  </si>
  <si>
    <t>F84038</t>
  </si>
  <si>
    <t>The Dalston Practice</t>
  </si>
  <si>
    <t>F84063</t>
  </si>
  <si>
    <t>Queensbridge Group Practice</t>
  </si>
  <si>
    <t>F84117</t>
  </si>
  <si>
    <t>Sandringham Practice</t>
  </si>
  <si>
    <t>F84621</t>
  </si>
  <si>
    <t>Shoreditch Park PCN</t>
  </si>
  <si>
    <t>De Beauvoir Surgery</t>
  </si>
  <si>
    <t>F84072</t>
  </si>
  <si>
    <t>The Lawson Practice</t>
  </si>
  <si>
    <t>F84096</t>
  </si>
  <si>
    <t>Shoreditch Park Surgery</t>
  </si>
  <si>
    <t>F84635</t>
  </si>
  <si>
    <t>The Neaman Practice</t>
  </si>
  <si>
    <t>F84640</t>
  </si>
  <si>
    <t>The Hoxton Surgery</t>
  </si>
  <si>
    <t>F84692</t>
  </si>
  <si>
    <t>Stamford Hill Group Practice</t>
  </si>
  <si>
    <t>F84013</t>
  </si>
  <si>
    <t>The Surgery (Cranwich Road)</t>
  </si>
  <si>
    <t>F84686</t>
  </si>
  <si>
    <t>Spring Hill Practice</t>
  </si>
  <si>
    <t>Y03049</t>
  </si>
  <si>
    <t>Well Street Common</t>
  </si>
  <si>
    <t>Well Street Surgery</t>
  </si>
  <si>
    <t>F84069</t>
  </si>
  <si>
    <t>Elsdale Street Surgery</t>
  </si>
  <si>
    <t>F84601</t>
  </si>
  <si>
    <t>The Wick Health Centre</t>
  </si>
  <si>
    <t>F84620</t>
  </si>
  <si>
    <t>The Greenhouse Walk-in</t>
  </si>
  <si>
    <t>F84632</t>
  </si>
  <si>
    <t>Trowbridge Practice</t>
  </si>
  <si>
    <t>Y00403</t>
  </si>
  <si>
    <t>Woodberry Wetlands PCN</t>
  </si>
  <si>
    <t>The Cedar Practice</t>
  </si>
  <si>
    <t>F84036</t>
  </si>
  <si>
    <t>The Statham Grove Surgery</t>
  </si>
  <si>
    <t>F84115</t>
  </si>
  <si>
    <t>The Heron Practice</t>
  </si>
  <si>
    <t>F84119</t>
  </si>
  <si>
    <t>The Allerton Road Surgery</t>
  </si>
  <si>
    <t>F84716</t>
  </si>
  <si>
    <t>C&amp;H CCG</t>
  </si>
  <si>
    <t>C&amp;H Apr-22 to Sep-22</t>
  </si>
  <si>
    <t>PCN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</si>
</sst>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16" x14ac:knownFonts="1"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color theme="0"/>
      <name val="Book Antiqua"/>
      <family val="1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Book Antiqua"/>
      <family val="1"/>
    </font>
    <font>
      <sz val="11"/>
      <color theme="1"/>
      <name val="Book Antiqua"/>
      <family val="1"/>
    </font>
    <font>
      <sz val="12"/>
      <name val="Book Antiqua"/>
      <family val="1"/>
    </font>
    <font>
      <sz val="12"/>
      <color theme="0"/>
      <name val="Book Antiqua"/>
      <family val="1"/>
    </font>
    <font>
      <sz val="12"/>
      <name val="Wingdings 3"/>
      <family val="1"/>
      <charset val="2"/>
    </font>
    <font>
      <b/>
      <sz val="12"/>
      <color theme="0"/>
      <name val="Wingdings 3"/>
      <family val="1"/>
      <charset val="2"/>
    </font>
    <font>
      <b/>
      <sz val="12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9"/>
      </left>
      <right/>
      <top style="double">
        <color indexed="9"/>
      </top>
      <bottom style="thin">
        <color indexed="64"/>
      </bottom>
      <diagonal/>
    </border>
    <border>
      <left/>
      <right/>
      <top style="double">
        <color indexed="9"/>
      </top>
      <bottom style="thin">
        <color indexed="64"/>
      </bottom>
      <diagonal/>
    </border>
    <border>
      <left/>
      <right style="thin">
        <color auto="1"/>
      </right>
      <top style="double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/>
    <xf numFmtId="0" fontId="3" fillId="4" borderId="0" xfId="0" applyFont="1" applyFill="1" applyBorder="1" applyAlignment="1"/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wrapText="1"/>
    </xf>
    <xf numFmtId="0" fontId="3" fillId="0" borderId="0" xfId="0" applyFont="1"/>
    <xf numFmtId="0" fontId="6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12" xfId="1" applyFont="1" applyFill="1" applyBorder="1"/>
    <xf numFmtId="0" fontId="6" fillId="2" borderId="12" xfId="2" quotePrefix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/>
    <xf numFmtId="0" fontId="7" fillId="0" borderId="0" xfId="0" applyFont="1"/>
    <xf numFmtId="0" fontId="8" fillId="0" borderId="0" xfId="0" applyFont="1"/>
    <xf numFmtId="0" fontId="9" fillId="2" borderId="14" xfId="0" applyFont="1" applyFill="1" applyBorder="1" applyAlignment="1">
      <alignment horizontal="center" vertical="center" wrapText="1"/>
    </xf>
    <xf numFmtId="0" fontId="10" fillId="5" borderId="5" xfId="0" applyFont="1" applyFill="1" applyBorder="1"/>
    <xf numFmtId="164" fontId="11" fillId="5" borderId="15" xfId="1" applyNumberFormat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3" fontId="13" fillId="5" borderId="15" xfId="1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3" fontId="13" fillId="5" borderId="5" xfId="1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6" fillId="2" borderId="15" xfId="2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166" fontId="6" fillId="2" borderId="5" xfId="1" applyNumberFormat="1" applyFont="1" applyFill="1" applyBorder="1" applyAlignment="1">
      <alignment horizontal="center"/>
    </xf>
    <xf numFmtId="3" fontId="14" fillId="2" borderId="5" xfId="1" applyNumberFormat="1" applyFont="1" applyFill="1" applyBorder="1" applyAlignment="1">
      <alignment horizontal="center"/>
    </xf>
    <xf numFmtId="3" fontId="13" fillId="5" borderId="14" xfId="1" applyNumberFormat="1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3" fontId="15" fillId="5" borderId="5" xfId="1" applyNumberFormat="1" applyFont="1" applyFill="1" applyBorder="1" applyAlignment="1">
      <alignment horizontal="center"/>
    </xf>
    <xf numFmtId="165" fontId="6" fillId="2" borderId="5" xfId="2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65" fontId="2" fillId="3" borderId="0" xfId="0" applyNumberFormat="1" applyFont="1" applyFill="1"/>
    <xf numFmtId="164" fontId="6" fillId="3" borderId="15" xfId="1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3" fontId="14" fillId="3" borderId="5" xfId="1" applyNumberFormat="1" applyFont="1" applyFill="1" applyBorder="1" applyAlignment="1">
      <alignment horizontal="center"/>
    </xf>
    <xf numFmtId="1" fontId="7" fillId="0" borderId="0" xfId="0" applyNumberFormat="1" applyFont="1"/>
    <xf numFmtId="166" fontId="7" fillId="0" borderId="0" xfId="0" applyNumberFormat="1" applyFont="1"/>
  </cellXfs>
  <cellStyles count="3">
    <cellStyle name="Comma 2" xfId="2"/>
    <cellStyle name="Normal" xfId="0" builtinId="0"/>
    <cellStyle name="Normal 2" xfId="1"/>
  </cellStyles>
  <dxfs count="46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Practice Comparison of</a:t>
            </a:r>
            <a:r>
              <a:rPr lang="en-GB" sz="1200" baseline="0"/>
              <a:t> Advice &amp; Guidance</a:t>
            </a:r>
            <a:r>
              <a:rPr lang="en-GB" sz="1200"/>
              <a:t>   -  All Trusts</a:t>
            </a:r>
          </a:p>
        </c:rich>
      </c:tx>
      <c:layout>
        <c:manualLayout>
          <c:xMode val="edge"/>
          <c:yMode val="edge"/>
          <c:x val="0.34611949976841128"/>
          <c:y val="4.97851026731672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971560907827699E-2"/>
          <c:y val="3.1316445105856829E-2"/>
          <c:w val="0.99335793357933577"/>
          <c:h val="0.60654024163010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'Advice and guidance'!$D$111</c:f>
              <c:strCache>
                <c:ptCount val="1"/>
                <c:pt idx="0">
                  <c:v>Apr-22 to Sep-22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'Advice and guidance'!$B$112:$B$147</c:f>
              <c:strCache>
                <c:ptCount val="36"/>
                <c:pt idx="0">
                  <c:v>Lower Clapton Group Practice</c:v>
                </c:pt>
                <c:pt idx="1">
                  <c:v>Queensbridge Group Practice</c:v>
                </c:pt>
                <c:pt idx="2">
                  <c:v>Somerford Grove Practice</c:v>
                </c:pt>
                <c:pt idx="3">
                  <c:v>The Nightingale Practice</c:v>
                </c:pt>
                <c:pt idx="4">
                  <c:v>Elsdale Street Surgery</c:v>
                </c:pt>
                <c:pt idx="5">
                  <c:v>Spring Hill Practice</c:v>
                </c:pt>
                <c:pt idx="6">
                  <c:v>The Cedar Practice</c:v>
                </c:pt>
                <c:pt idx="7">
                  <c:v>Barton House Group Practice</c:v>
                </c:pt>
                <c:pt idx="8">
                  <c:v>The Heron Practice</c:v>
                </c:pt>
                <c:pt idx="9">
                  <c:v>Richmond Road Medical Centre</c:v>
                </c:pt>
                <c:pt idx="10">
                  <c:v>Well Street Surgery</c:v>
                </c:pt>
                <c:pt idx="11">
                  <c:v>The Lawson Practice</c:v>
                </c:pt>
                <c:pt idx="12">
                  <c:v>Fountayne Road Health Centre</c:v>
                </c:pt>
                <c:pt idx="13">
                  <c:v>The Wick Health Centre</c:v>
                </c:pt>
                <c:pt idx="14">
                  <c:v>The Statham Grove Surgery</c:v>
                </c:pt>
                <c:pt idx="15">
                  <c:v>The Riverside Practice</c:v>
                </c:pt>
                <c:pt idx="16">
                  <c:v>The Elm Practice</c:v>
                </c:pt>
                <c:pt idx="17">
                  <c:v>London Fields Medical Centre</c:v>
                </c:pt>
                <c:pt idx="18">
                  <c:v>Sandringham Practice</c:v>
                </c:pt>
                <c:pt idx="19">
                  <c:v>The Surgery (Barretts Grove)</c:v>
                </c:pt>
                <c:pt idx="20">
                  <c:v>The Neaman Practice</c:v>
                </c:pt>
                <c:pt idx="21">
                  <c:v>Shoreditch Park Surgery</c:v>
                </c:pt>
                <c:pt idx="22">
                  <c:v>The Surgery (Brooke Road)</c:v>
                </c:pt>
                <c:pt idx="23">
                  <c:v>The Surgery (Cranwich Road)</c:v>
                </c:pt>
                <c:pt idx="24">
                  <c:v>The Dalston Practice</c:v>
                </c:pt>
                <c:pt idx="25">
                  <c:v>Athena Medical Centre</c:v>
                </c:pt>
                <c:pt idx="26">
                  <c:v>The Allerton Road Surgery</c:v>
                </c:pt>
                <c:pt idx="27">
                  <c:v>De Beauvoir Surgery</c:v>
                </c:pt>
                <c:pt idx="28">
                  <c:v>Stamford Hill Group Practice</c:v>
                </c:pt>
                <c:pt idx="29">
                  <c:v>Beechwood Medical Centre</c:v>
                </c:pt>
                <c:pt idx="30">
                  <c:v>The Hoxton Surgery</c:v>
                </c:pt>
                <c:pt idx="31">
                  <c:v>Trowbridge Practice</c:v>
                </c:pt>
                <c:pt idx="32">
                  <c:v>Healy Medical Centre</c:v>
                </c:pt>
                <c:pt idx="33">
                  <c:v>The Lea Surgery</c:v>
                </c:pt>
                <c:pt idx="34">
                  <c:v>Latimer Health Centre</c:v>
                </c:pt>
                <c:pt idx="35">
                  <c:v>The Greenhouse Walk-in</c:v>
                </c:pt>
              </c:strCache>
            </c:strRef>
          </c:cat>
          <c:val>
            <c:numRef>
              <c:f>'Advice and guidance'!$D$112:$D$147</c:f>
              <c:numCache>
                <c:formatCode>General</c:formatCode>
                <c:ptCount val="36"/>
                <c:pt idx="0">
                  <c:v>31.4</c:v>
                </c:pt>
                <c:pt idx="1">
                  <c:v>23.6</c:v>
                </c:pt>
                <c:pt idx="2">
                  <c:v>21.3</c:v>
                </c:pt>
                <c:pt idx="3">
                  <c:v>21</c:v>
                </c:pt>
                <c:pt idx="4">
                  <c:v>20.3</c:v>
                </c:pt>
                <c:pt idx="5">
                  <c:v>20.100000000000001</c:v>
                </c:pt>
                <c:pt idx="6">
                  <c:v>15.9</c:v>
                </c:pt>
                <c:pt idx="7">
                  <c:v>15.7</c:v>
                </c:pt>
                <c:pt idx="8">
                  <c:v>15.7</c:v>
                </c:pt>
                <c:pt idx="9">
                  <c:v>15.5</c:v>
                </c:pt>
                <c:pt idx="10">
                  <c:v>14.2</c:v>
                </c:pt>
                <c:pt idx="11">
                  <c:v>13.1</c:v>
                </c:pt>
                <c:pt idx="12">
                  <c:v>12.9</c:v>
                </c:pt>
                <c:pt idx="13">
                  <c:v>12.6</c:v>
                </c:pt>
                <c:pt idx="14">
                  <c:v>11.7</c:v>
                </c:pt>
                <c:pt idx="15">
                  <c:v>11.4</c:v>
                </c:pt>
                <c:pt idx="16">
                  <c:v>11.4</c:v>
                </c:pt>
                <c:pt idx="17">
                  <c:v>10.5</c:v>
                </c:pt>
                <c:pt idx="18">
                  <c:v>9.1999999999999993</c:v>
                </c:pt>
                <c:pt idx="19">
                  <c:v>8.9</c:v>
                </c:pt>
                <c:pt idx="20">
                  <c:v>8.9</c:v>
                </c:pt>
                <c:pt idx="21">
                  <c:v>8</c:v>
                </c:pt>
                <c:pt idx="22">
                  <c:v>7.9</c:v>
                </c:pt>
                <c:pt idx="23">
                  <c:v>7.8</c:v>
                </c:pt>
                <c:pt idx="24">
                  <c:v>7.5</c:v>
                </c:pt>
                <c:pt idx="25">
                  <c:v>7.1</c:v>
                </c:pt>
                <c:pt idx="26">
                  <c:v>7.1</c:v>
                </c:pt>
                <c:pt idx="27">
                  <c:v>6.9</c:v>
                </c:pt>
                <c:pt idx="28">
                  <c:v>6.7</c:v>
                </c:pt>
                <c:pt idx="29">
                  <c:v>6.4</c:v>
                </c:pt>
                <c:pt idx="30">
                  <c:v>6.2</c:v>
                </c:pt>
                <c:pt idx="31">
                  <c:v>5.0999999999999996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4</c:v>
                </c:pt>
                <c:pt idx="3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8-4915-ACEC-35796D85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2928"/>
        <c:axId val="94593712"/>
      </c:barChart>
      <c:lineChart>
        <c:grouping val="standard"/>
        <c:varyColors val="0"/>
        <c:ser>
          <c:idx val="2"/>
          <c:order val="2"/>
          <c:tx>
            <c:strRef>
              <c:f>'Advice and guidance'!$E$111</c:f>
              <c:strCache>
                <c:ptCount val="1"/>
                <c:pt idx="0">
                  <c:v>C&amp;H Apr-22 to Sep-22</c:v>
                </c:pt>
              </c:strCache>
            </c:strRef>
          </c:tx>
          <c:spPr>
            <a:ln cmpd="dbl"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'Advice and guidance'!$B$112:$B$147</c:f>
              <c:strCache>
                <c:ptCount val="36"/>
                <c:pt idx="0">
                  <c:v>Lower Clapton Group Practice</c:v>
                </c:pt>
                <c:pt idx="1">
                  <c:v>Queensbridge Group Practice</c:v>
                </c:pt>
                <c:pt idx="2">
                  <c:v>Somerford Grove Practice</c:v>
                </c:pt>
                <c:pt idx="3">
                  <c:v>The Nightingale Practice</c:v>
                </c:pt>
                <c:pt idx="4">
                  <c:v>Elsdale Street Surgery</c:v>
                </c:pt>
                <c:pt idx="5">
                  <c:v>Spring Hill Practice</c:v>
                </c:pt>
                <c:pt idx="6">
                  <c:v>The Cedar Practice</c:v>
                </c:pt>
                <c:pt idx="7">
                  <c:v>Barton House Group Practice</c:v>
                </c:pt>
                <c:pt idx="8">
                  <c:v>The Heron Practice</c:v>
                </c:pt>
                <c:pt idx="9">
                  <c:v>Richmond Road Medical Centre</c:v>
                </c:pt>
                <c:pt idx="10">
                  <c:v>Well Street Surgery</c:v>
                </c:pt>
                <c:pt idx="11">
                  <c:v>The Lawson Practice</c:v>
                </c:pt>
                <c:pt idx="12">
                  <c:v>Fountayne Road Health Centre</c:v>
                </c:pt>
                <c:pt idx="13">
                  <c:v>The Wick Health Centre</c:v>
                </c:pt>
                <c:pt idx="14">
                  <c:v>The Statham Grove Surgery</c:v>
                </c:pt>
                <c:pt idx="15">
                  <c:v>The Riverside Practice</c:v>
                </c:pt>
                <c:pt idx="16">
                  <c:v>The Elm Practice</c:v>
                </c:pt>
                <c:pt idx="17">
                  <c:v>London Fields Medical Centre</c:v>
                </c:pt>
                <c:pt idx="18">
                  <c:v>Sandringham Practice</c:v>
                </c:pt>
                <c:pt idx="19">
                  <c:v>The Surgery (Barretts Grove)</c:v>
                </c:pt>
                <c:pt idx="20">
                  <c:v>The Neaman Practice</c:v>
                </c:pt>
                <c:pt idx="21">
                  <c:v>Shoreditch Park Surgery</c:v>
                </c:pt>
                <c:pt idx="22">
                  <c:v>The Surgery (Brooke Road)</c:v>
                </c:pt>
                <c:pt idx="23">
                  <c:v>The Surgery (Cranwich Road)</c:v>
                </c:pt>
                <c:pt idx="24">
                  <c:v>The Dalston Practice</c:v>
                </c:pt>
                <c:pt idx="25">
                  <c:v>Athena Medical Centre</c:v>
                </c:pt>
                <c:pt idx="26">
                  <c:v>The Allerton Road Surgery</c:v>
                </c:pt>
                <c:pt idx="27">
                  <c:v>De Beauvoir Surgery</c:v>
                </c:pt>
                <c:pt idx="28">
                  <c:v>Stamford Hill Group Practice</c:v>
                </c:pt>
                <c:pt idx="29">
                  <c:v>Beechwood Medical Centre</c:v>
                </c:pt>
                <c:pt idx="30">
                  <c:v>The Hoxton Surgery</c:v>
                </c:pt>
                <c:pt idx="31">
                  <c:v>Trowbridge Practice</c:v>
                </c:pt>
                <c:pt idx="32">
                  <c:v>Healy Medical Centre</c:v>
                </c:pt>
                <c:pt idx="33">
                  <c:v>The Lea Surgery</c:v>
                </c:pt>
                <c:pt idx="34">
                  <c:v>Latimer Health Centre</c:v>
                </c:pt>
                <c:pt idx="35">
                  <c:v>The Greenhouse Walk-in</c:v>
                </c:pt>
              </c:strCache>
            </c:strRef>
          </c:cat>
          <c:val>
            <c:numRef>
              <c:f>'Advice and guidance'!$E$112:$E$147</c:f>
              <c:numCache>
                <c:formatCode>General</c:formatCode>
                <c:ptCount val="36"/>
                <c:pt idx="0">
                  <c:v>12.6</c:v>
                </c:pt>
                <c:pt idx="1">
                  <c:v>12.6</c:v>
                </c:pt>
                <c:pt idx="2">
                  <c:v>12.6</c:v>
                </c:pt>
                <c:pt idx="3">
                  <c:v>12.6</c:v>
                </c:pt>
                <c:pt idx="4">
                  <c:v>12.6</c:v>
                </c:pt>
                <c:pt idx="5">
                  <c:v>12.6</c:v>
                </c:pt>
                <c:pt idx="6">
                  <c:v>12.6</c:v>
                </c:pt>
                <c:pt idx="7">
                  <c:v>12.6</c:v>
                </c:pt>
                <c:pt idx="8">
                  <c:v>12.6</c:v>
                </c:pt>
                <c:pt idx="9">
                  <c:v>12.6</c:v>
                </c:pt>
                <c:pt idx="10">
                  <c:v>12.6</c:v>
                </c:pt>
                <c:pt idx="11">
                  <c:v>12.6</c:v>
                </c:pt>
                <c:pt idx="12">
                  <c:v>12.6</c:v>
                </c:pt>
                <c:pt idx="13">
                  <c:v>12.6</c:v>
                </c:pt>
                <c:pt idx="14">
                  <c:v>12.6</c:v>
                </c:pt>
                <c:pt idx="15">
                  <c:v>12.6</c:v>
                </c:pt>
                <c:pt idx="16">
                  <c:v>12.6</c:v>
                </c:pt>
                <c:pt idx="17">
                  <c:v>12.6</c:v>
                </c:pt>
                <c:pt idx="18">
                  <c:v>12.6</c:v>
                </c:pt>
                <c:pt idx="19">
                  <c:v>12.6</c:v>
                </c:pt>
                <c:pt idx="20">
                  <c:v>12.6</c:v>
                </c:pt>
                <c:pt idx="21">
                  <c:v>12.6</c:v>
                </c:pt>
                <c:pt idx="22">
                  <c:v>12.6</c:v>
                </c:pt>
                <c:pt idx="23">
                  <c:v>12.6</c:v>
                </c:pt>
                <c:pt idx="24">
                  <c:v>12.6</c:v>
                </c:pt>
                <c:pt idx="25">
                  <c:v>12.6</c:v>
                </c:pt>
                <c:pt idx="26">
                  <c:v>12.6</c:v>
                </c:pt>
                <c:pt idx="27">
                  <c:v>12.6</c:v>
                </c:pt>
                <c:pt idx="28">
                  <c:v>12.6</c:v>
                </c:pt>
                <c:pt idx="29">
                  <c:v>12.6</c:v>
                </c:pt>
                <c:pt idx="30">
                  <c:v>12.6</c:v>
                </c:pt>
                <c:pt idx="31">
                  <c:v>12.6</c:v>
                </c:pt>
                <c:pt idx="32">
                  <c:v>12.6</c:v>
                </c:pt>
                <c:pt idx="33">
                  <c:v>12.6</c:v>
                </c:pt>
                <c:pt idx="34">
                  <c:v>12.6</c:v>
                </c:pt>
                <c:pt idx="35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8-4915-ACEC-35796D85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928"/>
        <c:axId val="94593712"/>
      </c:lineChart>
      <c:scatterChart>
        <c:scatterStyle val="smoothMarker"/>
        <c:varyColors val="0"/>
        <c:ser>
          <c:idx val="0"/>
          <c:order val="0"/>
          <c:tx>
            <c:strRef>
              <c:f>'Advice and guidance'!$C$111</c:f>
              <c:strCache>
                <c:ptCount val="1"/>
                <c:pt idx="0">
                  <c:v>Oct-21 to Mar-22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xVal>
            <c:strRef>
              <c:f>'Advice and guidance'!$B$112:$B$147</c:f>
              <c:strCache>
                <c:ptCount val="36"/>
                <c:pt idx="0">
                  <c:v>Lower Clapton Group Practice</c:v>
                </c:pt>
                <c:pt idx="1">
                  <c:v>Queensbridge Group Practice</c:v>
                </c:pt>
                <c:pt idx="2">
                  <c:v>Somerford Grove Practice</c:v>
                </c:pt>
                <c:pt idx="3">
                  <c:v>The Nightingale Practice</c:v>
                </c:pt>
                <c:pt idx="4">
                  <c:v>Elsdale Street Surgery</c:v>
                </c:pt>
                <c:pt idx="5">
                  <c:v>Spring Hill Practice</c:v>
                </c:pt>
                <c:pt idx="6">
                  <c:v>The Cedar Practice</c:v>
                </c:pt>
                <c:pt idx="7">
                  <c:v>Barton House Group Practice</c:v>
                </c:pt>
                <c:pt idx="8">
                  <c:v>The Heron Practice</c:v>
                </c:pt>
                <c:pt idx="9">
                  <c:v>Richmond Road Medical Centre</c:v>
                </c:pt>
                <c:pt idx="10">
                  <c:v>Well Street Surgery</c:v>
                </c:pt>
                <c:pt idx="11">
                  <c:v>The Lawson Practice</c:v>
                </c:pt>
                <c:pt idx="12">
                  <c:v>Fountayne Road Health Centre</c:v>
                </c:pt>
                <c:pt idx="13">
                  <c:v>The Wick Health Centre</c:v>
                </c:pt>
                <c:pt idx="14">
                  <c:v>The Statham Grove Surgery</c:v>
                </c:pt>
                <c:pt idx="15">
                  <c:v>The Riverside Practice</c:v>
                </c:pt>
                <c:pt idx="16">
                  <c:v>The Elm Practice</c:v>
                </c:pt>
                <c:pt idx="17">
                  <c:v>London Fields Medical Centre</c:v>
                </c:pt>
                <c:pt idx="18">
                  <c:v>Sandringham Practice</c:v>
                </c:pt>
                <c:pt idx="19">
                  <c:v>The Surgery (Barretts Grove)</c:v>
                </c:pt>
                <c:pt idx="20">
                  <c:v>The Neaman Practice</c:v>
                </c:pt>
                <c:pt idx="21">
                  <c:v>Shoreditch Park Surgery</c:v>
                </c:pt>
                <c:pt idx="22">
                  <c:v>The Surgery (Brooke Road)</c:v>
                </c:pt>
                <c:pt idx="23">
                  <c:v>The Surgery (Cranwich Road)</c:v>
                </c:pt>
                <c:pt idx="24">
                  <c:v>The Dalston Practice</c:v>
                </c:pt>
                <c:pt idx="25">
                  <c:v>Athena Medical Centre</c:v>
                </c:pt>
                <c:pt idx="26">
                  <c:v>The Allerton Road Surgery</c:v>
                </c:pt>
                <c:pt idx="27">
                  <c:v>De Beauvoir Surgery</c:v>
                </c:pt>
                <c:pt idx="28">
                  <c:v>Stamford Hill Group Practice</c:v>
                </c:pt>
                <c:pt idx="29">
                  <c:v>Beechwood Medical Centre</c:v>
                </c:pt>
                <c:pt idx="30">
                  <c:v>The Hoxton Surgery</c:v>
                </c:pt>
                <c:pt idx="31">
                  <c:v>Trowbridge Practice</c:v>
                </c:pt>
                <c:pt idx="32">
                  <c:v>Healy Medical Centre</c:v>
                </c:pt>
                <c:pt idx="33">
                  <c:v>The Lea Surgery</c:v>
                </c:pt>
                <c:pt idx="34">
                  <c:v>Latimer Health Centre</c:v>
                </c:pt>
                <c:pt idx="35">
                  <c:v>The Greenhouse Walk-in</c:v>
                </c:pt>
              </c:strCache>
            </c:strRef>
          </c:xVal>
          <c:yVal>
            <c:numRef>
              <c:f>'Advice and guidance'!$C$112:$C$147</c:f>
              <c:numCache>
                <c:formatCode>General</c:formatCode>
                <c:ptCount val="36"/>
                <c:pt idx="0">
                  <c:v>34.1</c:v>
                </c:pt>
                <c:pt idx="1">
                  <c:v>23.1</c:v>
                </c:pt>
                <c:pt idx="2">
                  <c:v>17.600000000000001</c:v>
                </c:pt>
                <c:pt idx="3">
                  <c:v>22.2</c:v>
                </c:pt>
                <c:pt idx="4">
                  <c:v>18.2</c:v>
                </c:pt>
                <c:pt idx="5">
                  <c:v>25</c:v>
                </c:pt>
                <c:pt idx="6">
                  <c:v>11.7</c:v>
                </c:pt>
                <c:pt idx="7">
                  <c:v>16.600000000000001</c:v>
                </c:pt>
                <c:pt idx="8">
                  <c:v>21.5</c:v>
                </c:pt>
                <c:pt idx="9">
                  <c:v>13.1</c:v>
                </c:pt>
                <c:pt idx="10">
                  <c:v>16.399999999999999</c:v>
                </c:pt>
                <c:pt idx="11">
                  <c:v>15</c:v>
                </c:pt>
                <c:pt idx="12">
                  <c:v>9.5</c:v>
                </c:pt>
                <c:pt idx="13">
                  <c:v>10.8</c:v>
                </c:pt>
                <c:pt idx="14">
                  <c:v>14.8</c:v>
                </c:pt>
                <c:pt idx="15">
                  <c:v>14.7</c:v>
                </c:pt>
                <c:pt idx="16">
                  <c:v>7.5</c:v>
                </c:pt>
                <c:pt idx="17">
                  <c:v>11.8</c:v>
                </c:pt>
                <c:pt idx="18">
                  <c:v>13.8</c:v>
                </c:pt>
                <c:pt idx="19">
                  <c:v>7.9</c:v>
                </c:pt>
                <c:pt idx="20">
                  <c:v>8.6999999999999993</c:v>
                </c:pt>
                <c:pt idx="21">
                  <c:v>7.7</c:v>
                </c:pt>
                <c:pt idx="22">
                  <c:v>9.1</c:v>
                </c:pt>
                <c:pt idx="23">
                  <c:v>6.3</c:v>
                </c:pt>
                <c:pt idx="24">
                  <c:v>11</c:v>
                </c:pt>
                <c:pt idx="25">
                  <c:v>5.5</c:v>
                </c:pt>
                <c:pt idx="26">
                  <c:v>10.1</c:v>
                </c:pt>
                <c:pt idx="27">
                  <c:v>6.6</c:v>
                </c:pt>
                <c:pt idx="28">
                  <c:v>7.6</c:v>
                </c:pt>
                <c:pt idx="29">
                  <c:v>1.8</c:v>
                </c:pt>
                <c:pt idx="30">
                  <c:v>10.6</c:v>
                </c:pt>
                <c:pt idx="31">
                  <c:v>7.9</c:v>
                </c:pt>
                <c:pt idx="32">
                  <c:v>8.6999999999999993</c:v>
                </c:pt>
                <c:pt idx="33">
                  <c:v>3.9</c:v>
                </c:pt>
                <c:pt idx="34">
                  <c:v>3.7</c:v>
                </c:pt>
                <c:pt idx="35">
                  <c:v>3.8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B8-4915-ACEC-35796D85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13632"/>
        <c:axId val="849249320"/>
      </c:scatterChart>
      <c:catAx>
        <c:axId val="945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94593712"/>
        <c:crosses val="autoZero"/>
        <c:auto val="0"/>
        <c:lblAlgn val="ctr"/>
        <c:lblOffset val="400"/>
        <c:tickLblSkip val="1"/>
        <c:tickMarkSkip val="1"/>
        <c:noMultiLvlLbl val="0"/>
      </c:catAx>
      <c:valAx>
        <c:axId val="9459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901003599199085E-3"/>
              <c:y val="0.36850667183244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92928"/>
        <c:crosses val="autoZero"/>
        <c:crossBetween val="between"/>
      </c:valAx>
      <c:valAx>
        <c:axId val="849249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38613632"/>
        <c:crosses val="max"/>
        <c:crossBetween val="midCat"/>
      </c:valAx>
      <c:valAx>
        <c:axId val="838613632"/>
        <c:scaling>
          <c:orientation val="minMax"/>
        </c:scaling>
        <c:delete val="1"/>
        <c:axPos val="t"/>
        <c:majorTickMark val="out"/>
        <c:minorTickMark val="none"/>
        <c:tickLblPos val="nextTo"/>
        <c:crossAx val="849249320"/>
        <c:crosses val="max"/>
        <c:crossBetween val="midCat"/>
      </c:valAx>
    </c:plotArea>
    <c:legend>
      <c:legendPos val="t"/>
      <c:layout>
        <c:manualLayout>
          <c:xMode val="edge"/>
          <c:yMode val="edge"/>
          <c:x val="0.48663807318202873"/>
          <c:y val="6.8056427372807898E-2"/>
          <c:w val="0.51336192681797133"/>
          <c:h val="3.208881682455419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3175">
      <a:solidFill>
        <a:schemeClr val="accent1">
          <a:lumMod val="60000"/>
          <a:lumOff val="4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PCN Comparison of</a:t>
            </a:r>
            <a:r>
              <a:rPr lang="en-GB" sz="1200" baseline="0"/>
              <a:t> </a:t>
            </a:r>
            <a:r>
              <a:rPr lang="en-GB" sz="1200" b="1" i="0" u="none" strike="noStrike" baseline="0">
                <a:effectLst/>
              </a:rPr>
              <a:t>Advice &amp; Guidance</a:t>
            </a:r>
            <a:r>
              <a:rPr lang="en-GB" sz="1000" b="1" i="0" u="none" strike="noStrike" baseline="0">
                <a:effectLst/>
              </a:rPr>
              <a:t>   </a:t>
            </a:r>
            <a:r>
              <a:rPr lang="en-GB" sz="1200"/>
              <a:t>   -  All Trusts</a:t>
            </a:r>
          </a:p>
        </c:rich>
      </c:tx>
      <c:layout>
        <c:manualLayout>
          <c:xMode val="edge"/>
          <c:yMode val="edge"/>
          <c:x val="0.16275862068965516"/>
          <c:y val="6.85909324804075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971560907827699E-2"/>
          <c:y val="1.0630032317892562E-2"/>
          <c:w val="0.99335793357933577"/>
          <c:h val="0.60654024163010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'Advice and guidance'!$D$152</c:f>
              <c:strCache>
                <c:ptCount val="1"/>
                <c:pt idx="0">
                  <c:v>Apr-22 to Sep-22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'Advice and guidance'!$B$153:$B$159</c:f>
              <c:strCache>
                <c:ptCount val="7"/>
                <c:pt idx="0">
                  <c:v>Clissold Park PCN</c:v>
                </c:pt>
                <c:pt idx="1">
                  <c:v>Hackney Marshes PCN</c:v>
                </c:pt>
                <c:pt idx="2">
                  <c:v>London Fields PCN</c:v>
                </c:pt>
                <c:pt idx="3">
                  <c:v>Woodberry Wetlands PCN</c:v>
                </c:pt>
                <c:pt idx="4">
                  <c:v>Well Street Common</c:v>
                </c:pt>
                <c:pt idx="5">
                  <c:v>Hackney Downs PCN</c:v>
                </c:pt>
                <c:pt idx="6">
                  <c:v>Shoreditch Park PCN</c:v>
                </c:pt>
              </c:strCache>
            </c:strRef>
          </c:cat>
          <c:val>
            <c:numRef>
              <c:f>'Advice and guidance'!$D$153:$D$159</c:f>
              <c:numCache>
                <c:formatCode>General</c:formatCode>
                <c:ptCount val="7"/>
                <c:pt idx="0">
                  <c:v>15.3</c:v>
                </c:pt>
                <c:pt idx="1">
                  <c:v>14.3</c:v>
                </c:pt>
                <c:pt idx="2">
                  <c:v>13.9</c:v>
                </c:pt>
                <c:pt idx="3">
                  <c:v>13.3</c:v>
                </c:pt>
                <c:pt idx="4">
                  <c:v>12.8</c:v>
                </c:pt>
                <c:pt idx="5">
                  <c:v>11.6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1-4263-945A-C88B97A1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2928"/>
        <c:axId val="94593712"/>
      </c:barChart>
      <c:lineChart>
        <c:grouping val="standard"/>
        <c:varyColors val="0"/>
        <c:ser>
          <c:idx val="2"/>
          <c:order val="2"/>
          <c:tx>
            <c:strRef>
              <c:f>'Advice and guidance'!$E$152</c:f>
              <c:strCache>
                <c:ptCount val="1"/>
                <c:pt idx="0">
                  <c:v>C&amp;H Apr-22 to Sep-22</c:v>
                </c:pt>
              </c:strCache>
            </c:strRef>
          </c:tx>
          <c:marker>
            <c:symbol val="none"/>
          </c:marker>
          <c:cat>
            <c:strRef>
              <c:f>'Advice and guidance'!$B$153:$B$159</c:f>
              <c:strCache>
                <c:ptCount val="7"/>
                <c:pt idx="0">
                  <c:v>Clissold Park PCN</c:v>
                </c:pt>
                <c:pt idx="1">
                  <c:v>Hackney Marshes PCN</c:v>
                </c:pt>
                <c:pt idx="2">
                  <c:v>London Fields PCN</c:v>
                </c:pt>
                <c:pt idx="3">
                  <c:v>Woodberry Wetlands PCN</c:v>
                </c:pt>
                <c:pt idx="4">
                  <c:v>Well Street Common</c:v>
                </c:pt>
                <c:pt idx="5">
                  <c:v>Hackney Downs PCN</c:v>
                </c:pt>
                <c:pt idx="6">
                  <c:v>Shoreditch Park PCN</c:v>
                </c:pt>
              </c:strCache>
            </c:strRef>
          </c:cat>
          <c:val>
            <c:numRef>
              <c:f>'Advice and guidance'!$E$153:$E$159</c:f>
              <c:numCache>
                <c:formatCode>General</c:formatCode>
                <c:ptCount val="7"/>
                <c:pt idx="0">
                  <c:v>12.6</c:v>
                </c:pt>
                <c:pt idx="1">
                  <c:v>12.6</c:v>
                </c:pt>
                <c:pt idx="2">
                  <c:v>12.6</c:v>
                </c:pt>
                <c:pt idx="3">
                  <c:v>12.6</c:v>
                </c:pt>
                <c:pt idx="4">
                  <c:v>12.6</c:v>
                </c:pt>
                <c:pt idx="5">
                  <c:v>12.6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1-4263-945A-C88B97A1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928"/>
        <c:axId val="94593712"/>
      </c:lineChart>
      <c:scatterChart>
        <c:scatterStyle val="smoothMarker"/>
        <c:varyColors val="0"/>
        <c:ser>
          <c:idx val="0"/>
          <c:order val="0"/>
          <c:tx>
            <c:strRef>
              <c:f>'Advice and guidance'!$C$152</c:f>
              <c:strCache>
                <c:ptCount val="1"/>
                <c:pt idx="0">
                  <c:v>Oct-21 to Mar-22</c:v>
                </c:pt>
              </c:strCache>
            </c:strRef>
          </c:tx>
          <c:xVal>
            <c:strRef>
              <c:f>'Advice and guidance'!$B$153:$B$159</c:f>
              <c:strCache>
                <c:ptCount val="7"/>
                <c:pt idx="0">
                  <c:v>Clissold Park PCN</c:v>
                </c:pt>
                <c:pt idx="1">
                  <c:v>Hackney Marshes PCN</c:v>
                </c:pt>
                <c:pt idx="2">
                  <c:v>London Fields PCN</c:v>
                </c:pt>
                <c:pt idx="3">
                  <c:v>Woodberry Wetlands PCN</c:v>
                </c:pt>
                <c:pt idx="4">
                  <c:v>Well Street Common</c:v>
                </c:pt>
                <c:pt idx="5">
                  <c:v>Hackney Downs PCN</c:v>
                </c:pt>
                <c:pt idx="6">
                  <c:v>Shoreditch Park PCN</c:v>
                </c:pt>
              </c:strCache>
            </c:strRef>
          </c:xVal>
          <c:yVal>
            <c:numRef>
              <c:f>'Advice and guidance'!$C$153:$C$159</c:f>
              <c:numCache>
                <c:formatCode>General</c:formatCode>
                <c:ptCount val="7"/>
                <c:pt idx="0">
                  <c:v>14.3</c:v>
                </c:pt>
                <c:pt idx="1">
                  <c:v>14.8</c:v>
                </c:pt>
                <c:pt idx="2">
                  <c:v>13.7</c:v>
                </c:pt>
                <c:pt idx="3">
                  <c:v>15.7</c:v>
                </c:pt>
                <c:pt idx="4">
                  <c:v>13.5</c:v>
                </c:pt>
                <c:pt idx="5">
                  <c:v>12.3</c:v>
                </c:pt>
                <c:pt idx="6">
                  <c:v>11.6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41-4263-945A-C88B97A1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13632"/>
        <c:axId val="849249320"/>
      </c:scatterChart>
      <c:catAx>
        <c:axId val="945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94593712"/>
        <c:crosses val="autoZero"/>
        <c:auto val="0"/>
        <c:lblAlgn val="ctr"/>
        <c:lblOffset val="400"/>
        <c:tickLblSkip val="1"/>
        <c:tickMarkSkip val="1"/>
        <c:noMultiLvlLbl val="0"/>
      </c:catAx>
      <c:valAx>
        <c:axId val="9459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901003599199085E-3"/>
              <c:y val="0.36850667183244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92928"/>
        <c:crosses val="autoZero"/>
        <c:crossBetween val="between"/>
      </c:valAx>
      <c:valAx>
        <c:axId val="849249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38613632"/>
        <c:crosses val="max"/>
        <c:crossBetween val="midCat"/>
      </c:valAx>
      <c:valAx>
        <c:axId val="838613632"/>
        <c:scaling>
          <c:orientation val="minMax"/>
        </c:scaling>
        <c:delete val="1"/>
        <c:axPos val="t"/>
        <c:majorTickMark val="out"/>
        <c:minorTickMark val="none"/>
        <c:tickLblPos val="nextTo"/>
        <c:crossAx val="849249320"/>
        <c:crosses val="max"/>
        <c:crossBetween val="midCat"/>
      </c:valAx>
    </c:plotArea>
    <c:legend>
      <c:legendPos val="t"/>
      <c:layout>
        <c:manualLayout>
          <c:xMode val="edge"/>
          <c:yMode val="edge"/>
          <c:x val="0.26033650104081812"/>
          <c:y val="5.6772875181857557E-2"/>
          <c:w val="0.72581627296587914"/>
          <c:h val="3.2088816824554195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3175">
      <a:solidFill>
        <a:schemeClr val="accent1">
          <a:lumMod val="60000"/>
          <a:lumOff val="4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7056</xdr:colOff>
      <xdr:row>3</xdr:row>
      <xdr:rowOff>0</xdr:rowOff>
    </xdr:from>
    <xdr:to>
      <xdr:col>19</xdr:col>
      <xdr:colOff>7056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734C5CB-E8F5-4DED-8FAE-578658BEF475}"/>
            </a:ext>
          </a:extLst>
        </xdr:cNvPr>
        <xdr:cNvCxnSpPr/>
      </xdr:nvCxnSpPr>
      <xdr:spPr>
        <a:xfrm>
          <a:off x="7056" y="609600"/>
          <a:ext cx="16411575" cy="0"/>
        </a:xfrm>
        <a:prstGeom prst="line">
          <a:avLst/>
        </a:prstGeom>
        <a:ln w="38100">
          <a:solidFill>
            <a:schemeClr val="accent1"/>
          </a:solidFill>
        </a:ln>
        <a:effectLst>
          <a:reflection blurRad="6350" stA="52000" endA="300" endPos="35000" dir="5400000" sy="-100000" algn="bl" rotWithShape="0"/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108856</xdr:colOff>
      <xdr:row>9</xdr:row>
      <xdr:rowOff>0</xdr:rowOff>
    </xdr:from>
    <xdr:to>
      <xdr:col>14</xdr:col>
      <xdr:colOff>381000</xdr:colOff>
      <xdr:row>21</xdr:row>
      <xdr:rowOff>13608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D2E1F2-4EC3-4F61-A957-64DDAB197566}"/>
            </a:ext>
          </a:extLst>
        </xdr:cNvPr>
        <xdr:cNvSpPr txBox="1"/>
      </xdr:nvSpPr>
      <xdr:spPr>
        <a:xfrm>
          <a:off x="10557781" y="1952625"/>
          <a:ext cx="2720069" cy="25377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ysClr val="windowText" lastClr="000000"/>
              </a:solidFill>
            </a:rPr>
            <a:t>This is looking at the number of Advice</a:t>
          </a:r>
          <a:r>
            <a:rPr lang="en-GB" sz="1200" b="1" baseline="0">
              <a:solidFill>
                <a:sysClr val="windowText" lastClr="000000"/>
              </a:solidFill>
            </a:rPr>
            <a:t> and Guidance requests.</a:t>
          </a:r>
        </a:p>
        <a:p>
          <a:endParaRPr lang="en-GB" sz="1200" b="1" baseline="0">
            <a:solidFill>
              <a:sysClr val="windowText" lastClr="000000"/>
            </a:solidFill>
          </a:endParaRPr>
        </a:p>
        <a:p>
          <a:r>
            <a:rPr lang="en-GB" sz="1200" b="1" baseline="0">
              <a:solidFill>
                <a:sysClr val="windowText" lastClr="000000"/>
              </a:solidFill>
            </a:rPr>
            <a:t>Mental Health, Obsetrics and Physiotherapy are not included</a:t>
          </a:r>
        </a:p>
        <a:p>
          <a:endParaRPr lang="en-GB" sz="1200" b="1" baseline="0">
            <a:solidFill>
              <a:sysClr val="windowText" lastClr="000000"/>
            </a:solidFill>
          </a:endParaRPr>
        </a:p>
        <a:p>
          <a:r>
            <a:rPr lang="en-GB" sz="1200" b="1" i="1" u="none" baseline="0">
              <a:solidFill>
                <a:sysClr val="windowText" lastClr="000000"/>
              </a:solidFill>
            </a:rPr>
            <a:t>Data source: ERs</a:t>
          </a:r>
          <a:endParaRPr lang="en-GB" sz="1200" b="1" i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11</xdr:col>
      <xdr:colOff>358321</xdr:colOff>
      <xdr:row>97</xdr:row>
      <xdr:rowOff>31296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EB5CFEC5-CF25-43AF-8747-108894D4D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530679</xdr:colOff>
      <xdr:row>59</xdr:row>
      <xdr:rowOff>27214</xdr:rowOff>
    </xdr:from>
    <xdr:to>
      <xdr:col>19</xdr:col>
      <xdr:colOff>108858</xdr:colOff>
      <xdr:row>97</xdr:row>
      <xdr:rowOff>58510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D1AAA1F-B0EF-4FA4-8510-4DA6E89EC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149678</xdr:colOff>
      <xdr:row>7</xdr:row>
      <xdr:rowOff>27215</xdr:rowOff>
    </xdr:from>
    <xdr:to>
      <xdr:col>15</xdr:col>
      <xdr:colOff>27215</xdr:colOff>
      <xdr:row>9</xdr:row>
      <xdr:rowOff>54429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42C023A-5EC1-499D-8A34-05306B81CC72}"/>
            </a:ext>
          </a:extLst>
        </xdr:cNvPr>
        <xdr:cNvCxnSpPr/>
      </xdr:nvCxnSpPr>
      <xdr:spPr>
        <a:xfrm flipH="1" flipV="1">
          <a:off x="12236903" y="1598840"/>
          <a:ext cx="1458687" cy="4082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</xdr:row>
      <xdr:rowOff>0</xdr:rowOff>
    </xdr:from>
    <xdr:to>
      <xdr:col>19</xdr:col>
      <xdr:colOff>586886</xdr:colOff>
      <xdr:row>4</xdr:row>
      <xdr:rowOff>256268</xdr:rowOff>
    </xdr:to>
    <xdr:sp macro="[1]!Top" textlink="">
      <xdr:nvSpPr>
        <xdr:cNvPr id="7" name="Rectangle: Rounded Corner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7B8C1-8171-4B48-AE26-80F97E7A19DF}"/>
            </a:ext>
          </a:extLst>
        </xdr:cNvPr>
        <xdr:cNvSpPr/>
      </xdr:nvSpPr>
      <xdr:spPr>
        <a:xfrm>
          <a:off x="15039975" y="790575"/>
          <a:ext cx="1958486" cy="256268"/>
        </a:xfrm>
        <a:prstGeom prst="roundRect">
          <a:avLst/>
        </a:prstGeom>
        <a:ln>
          <a:noFill/>
        </a:ln>
        <a:effectLst>
          <a:reflection blurRad="6350" stA="50000" endA="300" endPos="550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solidFill>
                <a:schemeClr val="lt1"/>
              </a:solidFill>
              <a:latin typeface="+mn-lt"/>
              <a:ea typeface="+mn-ea"/>
              <a:cs typeface="+mn-cs"/>
            </a:rPr>
            <a:t>Back to Cover Page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veleyr1/AppData/Local/Microsoft/Windows/INetCache/Content.Outlook/RI553A1E/Practice%20Benchmarking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G Back"/>
      <sheetName val="Top 5 back"/>
      <sheetName val="A&amp;E Back"/>
      <sheetName val="Admissions Back"/>
      <sheetName val="e-referrals booked"/>
      <sheetName val="Cover Page"/>
      <sheetName val="A&amp;E"/>
      <sheetName val="Admissions"/>
      <sheetName val="Ers"/>
      <sheetName val="ERs Top 5"/>
      <sheetName val="Advice and guidance"/>
      <sheetName val="NHS111"/>
      <sheetName val="NHS111 Calls back"/>
      <sheetName val="Population"/>
    </sheetNames>
    <definedNames>
      <definedName name="Top"/>
    </definedNames>
    <sheetDataSet>
      <sheetData sheetId="0">
        <row r="6">
          <cell r="B6" t="str">
            <v>Count of ACTION_CD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C7" t="str">
            <v>Oct-21 to Mar-22</v>
          </cell>
        </row>
        <row r="8">
          <cell r="C8" t="str">
            <v>Apr-22 to Sep-22</v>
          </cell>
        </row>
      </sheetData>
      <sheetData sheetId="7"/>
      <sheetData sheetId="8"/>
      <sheetData sheetId="9"/>
      <sheetData sheetId="10">
        <row r="111">
          <cell r="C111" t="str">
            <v>Oct-21 to Mar-22</v>
          </cell>
          <cell r="D111" t="str">
            <v>Apr-22 to Sep-22</v>
          </cell>
          <cell r="E111" t="str">
            <v>C&amp;H Apr-22 to Sep-22</v>
          </cell>
        </row>
        <row r="112">
          <cell r="B112" t="str">
            <v>Lower Clapton Group Practice</v>
          </cell>
          <cell r="C112">
            <v>34.1</v>
          </cell>
          <cell r="D112">
            <v>31.4</v>
          </cell>
          <cell r="E112">
            <v>12.6</v>
          </cell>
        </row>
        <row r="113">
          <cell r="B113" t="str">
            <v>Queensbridge Group Practice</v>
          </cell>
          <cell r="C113">
            <v>23.1</v>
          </cell>
          <cell r="D113">
            <v>23.6</v>
          </cell>
          <cell r="E113">
            <v>12.6</v>
          </cell>
        </row>
        <row r="114">
          <cell r="B114" t="str">
            <v>Somerford Grove Practice</v>
          </cell>
          <cell r="C114">
            <v>17.600000000000001</v>
          </cell>
          <cell r="D114">
            <v>21.3</v>
          </cell>
          <cell r="E114">
            <v>12.6</v>
          </cell>
        </row>
        <row r="115">
          <cell r="B115" t="str">
            <v>The Nightingale Practice</v>
          </cell>
          <cell r="C115">
            <v>22.2</v>
          </cell>
          <cell r="D115">
            <v>21</v>
          </cell>
          <cell r="E115">
            <v>12.6</v>
          </cell>
        </row>
        <row r="116">
          <cell r="B116" t="str">
            <v>Elsdale Street Surgery</v>
          </cell>
          <cell r="C116">
            <v>18.2</v>
          </cell>
          <cell r="D116">
            <v>20.3</v>
          </cell>
          <cell r="E116">
            <v>12.6</v>
          </cell>
        </row>
        <row r="117">
          <cell r="B117" t="str">
            <v>Spring Hill Practice</v>
          </cell>
          <cell r="C117">
            <v>25</v>
          </cell>
          <cell r="D117">
            <v>20.100000000000001</v>
          </cell>
          <cell r="E117">
            <v>12.6</v>
          </cell>
        </row>
        <row r="118">
          <cell r="B118" t="str">
            <v>The Cedar Practice</v>
          </cell>
          <cell r="C118">
            <v>11.7</v>
          </cell>
          <cell r="D118">
            <v>15.9</v>
          </cell>
          <cell r="E118">
            <v>12.6</v>
          </cell>
        </row>
        <row r="119">
          <cell r="B119" t="str">
            <v>Barton House Group Practice</v>
          </cell>
          <cell r="C119">
            <v>16.600000000000001</v>
          </cell>
          <cell r="D119">
            <v>15.7</v>
          </cell>
          <cell r="E119">
            <v>12.6</v>
          </cell>
        </row>
        <row r="120">
          <cell r="B120" t="str">
            <v>The Heron Practice</v>
          </cell>
          <cell r="C120">
            <v>21.5</v>
          </cell>
          <cell r="D120">
            <v>15.7</v>
          </cell>
          <cell r="E120">
            <v>12.6</v>
          </cell>
        </row>
        <row r="121">
          <cell r="B121" t="str">
            <v>Richmond Road Medical Centre</v>
          </cell>
          <cell r="C121">
            <v>13.1</v>
          </cell>
          <cell r="D121">
            <v>15.5</v>
          </cell>
          <cell r="E121">
            <v>12.6</v>
          </cell>
        </row>
        <row r="122">
          <cell r="B122" t="str">
            <v>Well Street Surgery</v>
          </cell>
          <cell r="C122">
            <v>16.399999999999999</v>
          </cell>
          <cell r="D122">
            <v>14.2</v>
          </cell>
          <cell r="E122">
            <v>12.6</v>
          </cell>
        </row>
        <row r="123">
          <cell r="B123" t="str">
            <v>The Lawson Practice</v>
          </cell>
          <cell r="C123">
            <v>15</v>
          </cell>
          <cell r="D123">
            <v>13.1</v>
          </cell>
          <cell r="E123">
            <v>12.6</v>
          </cell>
        </row>
        <row r="124">
          <cell r="B124" t="str">
            <v>Fountayne Road Health Centre</v>
          </cell>
          <cell r="C124">
            <v>9.5</v>
          </cell>
          <cell r="D124">
            <v>12.9</v>
          </cell>
          <cell r="E124">
            <v>12.6</v>
          </cell>
        </row>
        <row r="125">
          <cell r="B125" t="str">
            <v>The Wick Health Centre</v>
          </cell>
          <cell r="C125">
            <v>10.8</v>
          </cell>
          <cell r="D125">
            <v>12.6</v>
          </cell>
          <cell r="E125">
            <v>12.6</v>
          </cell>
        </row>
        <row r="126">
          <cell r="B126" t="str">
            <v>The Statham Grove Surgery</v>
          </cell>
          <cell r="C126">
            <v>14.8</v>
          </cell>
          <cell r="D126">
            <v>11.7</v>
          </cell>
          <cell r="E126">
            <v>12.6</v>
          </cell>
        </row>
        <row r="127">
          <cell r="B127" t="str">
            <v>The Riverside Practice</v>
          </cell>
          <cell r="C127">
            <v>14.7</v>
          </cell>
          <cell r="D127">
            <v>11.4</v>
          </cell>
          <cell r="E127">
            <v>12.6</v>
          </cell>
        </row>
        <row r="128">
          <cell r="B128" t="str">
            <v>The Elm Practice</v>
          </cell>
          <cell r="C128">
            <v>7.5</v>
          </cell>
          <cell r="D128">
            <v>11.4</v>
          </cell>
          <cell r="E128">
            <v>12.6</v>
          </cell>
        </row>
        <row r="129">
          <cell r="B129" t="str">
            <v>London Fields Medical Centre</v>
          </cell>
          <cell r="C129">
            <v>11.8</v>
          </cell>
          <cell r="D129">
            <v>10.5</v>
          </cell>
          <cell r="E129">
            <v>12.6</v>
          </cell>
        </row>
        <row r="130">
          <cell r="B130" t="str">
            <v>Sandringham Practice</v>
          </cell>
          <cell r="C130">
            <v>13.8</v>
          </cell>
          <cell r="D130">
            <v>9.1999999999999993</v>
          </cell>
          <cell r="E130">
            <v>12.6</v>
          </cell>
        </row>
        <row r="131">
          <cell r="B131" t="str">
            <v>The Surgery (Barretts Grove)</v>
          </cell>
          <cell r="C131">
            <v>7.9</v>
          </cell>
          <cell r="D131">
            <v>8.9</v>
          </cell>
          <cell r="E131">
            <v>12.6</v>
          </cell>
        </row>
        <row r="132">
          <cell r="B132" t="str">
            <v>The Neaman Practice</v>
          </cell>
          <cell r="C132">
            <v>8.6999999999999993</v>
          </cell>
          <cell r="D132">
            <v>8.9</v>
          </cell>
          <cell r="E132">
            <v>12.6</v>
          </cell>
        </row>
        <row r="133">
          <cell r="B133" t="str">
            <v>Shoreditch Park Surgery</v>
          </cell>
          <cell r="C133">
            <v>7.7</v>
          </cell>
          <cell r="D133">
            <v>8</v>
          </cell>
          <cell r="E133">
            <v>12.6</v>
          </cell>
        </row>
        <row r="134">
          <cell r="B134" t="str">
            <v>The Surgery (Brooke Road)</v>
          </cell>
          <cell r="C134">
            <v>9.1</v>
          </cell>
          <cell r="D134">
            <v>7.9</v>
          </cell>
          <cell r="E134">
            <v>12.6</v>
          </cell>
        </row>
        <row r="135">
          <cell r="B135" t="str">
            <v>The Surgery (Cranwich Road)</v>
          </cell>
          <cell r="C135">
            <v>6.3</v>
          </cell>
          <cell r="D135">
            <v>7.8</v>
          </cell>
          <cell r="E135">
            <v>12.6</v>
          </cell>
        </row>
        <row r="136">
          <cell r="B136" t="str">
            <v>The Dalston Practice</v>
          </cell>
          <cell r="C136">
            <v>11</v>
          </cell>
          <cell r="D136">
            <v>7.5</v>
          </cell>
          <cell r="E136">
            <v>12.6</v>
          </cell>
        </row>
        <row r="137">
          <cell r="B137" t="str">
            <v>Athena Medical Centre</v>
          </cell>
          <cell r="C137">
            <v>5.5</v>
          </cell>
          <cell r="D137">
            <v>7.1</v>
          </cell>
          <cell r="E137">
            <v>12.6</v>
          </cell>
        </row>
        <row r="138">
          <cell r="B138" t="str">
            <v>The Allerton Road Surgery</v>
          </cell>
          <cell r="C138">
            <v>10.1</v>
          </cell>
          <cell r="D138">
            <v>7.1</v>
          </cell>
          <cell r="E138">
            <v>12.6</v>
          </cell>
        </row>
        <row r="139">
          <cell r="B139" t="str">
            <v>De Beauvoir Surgery</v>
          </cell>
          <cell r="C139">
            <v>6.6</v>
          </cell>
          <cell r="D139">
            <v>6.9</v>
          </cell>
          <cell r="E139">
            <v>12.6</v>
          </cell>
        </row>
        <row r="140">
          <cell r="B140" t="str">
            <v>Stamford Hill Group Practice</v>
          </cell>
          <cell r="C140">
            <v>7.6</v>
          </cell>
          <cell r="D140">
            <v>6.7</v>
          </cell>
          <cell r="E140">
            <v>12.6</v>
          </cell>
        </row>
        <row r="141">
          <cell r="B141" t="str">
            <v>Beechwood Medical Centre</v>
          </cell>
          <cell r="C141">
            <v>1.8</v>
          </cell>
          <cell r="D141">
            <v>6.4</v>
          </cell>
          <cell r="E141">
            <v>12.6</v>
          </cell>
        </row>
        <row r="142">
          <cell r="B142" t="str">
            <v>The Hoxton Surgery</v>
          </cell>
          <cell r="C142">
            <v>10.6</v>
          </cell>
          <cell r="D142">
            <v>6.2</v>
          </cell>
          <cell r="E142">
            <v>12.6</v>
          </cell>
        </row>
        <row r="143">
          <cell r="B143" t="str">
            <v>Trowbridge Practice</v>
          </cell>
          <cell r="C143">
            <v>7.9</v>
          </cell>
          <cell r="D143">
            <v>5.0999999999999996</v>
          </cell>
          <cell r="E143">
            <v>12.6</v>
          </cell>
        </row>
        <row r="144">
          <cell r="B144" t="str">
            <v>Healy Medical Centre</v>
          </cell>
          <cell r="C144">
            <v>8.6999999999999993</v>
          </cell>
          <cell r="D144">
            <v>4.9000000000000004</v>
          </cell>
          <cell r="E144">
            <v>12.6</v>
          </cell>
        </row>
        <row r="145">
          <cell r="B145" t="str">
            <v>The Lea Surgery</v>
          </cell>
          <cell r="C145">
            <v>3.9</v>
          </cell>
          <cell r="D145">
            <v>4.9000000000000004</v>
          </cell>
          <cell r="E145">
            <v>12.6</v>
          </cell>
        </row>
        <row r="146">
          <cell r="B146" t="str">
            <v>Latimer Health Centre</v>
          </cell>
          <cell r="C146">
            <v>3.7</v>
          </cell>
          <cell r="D146">
            <v>4</v>
          </cell>
          <cell r="E146">
            <v>12.6</v>
          </cell>
        </row>
        <row r="147">
          <cell r="B147" t="str">
            <v>The Greenhouse Walk-in</v>
          </cell>
          <cell r="C147">
            <v>3.8</v>
          </cell>
          <cell r="D147">
            <v>3.8</v>
          </cell>
          <cell r="E147">
            <v>12.6</v>
          </cell>
        </row>
        <row r="152">
          <cell r="C152" t="str">
            <v>Oct-21 to Mar-22</v>
          </cell>
          <cell r="D152" t="str">
            <v>Apr-22 to Sep-22</v>
          </cell>
          <cell r="E152" t="str">
            <v>C&amp;H Apr-22 to Sep-22</v>
          </cell>
        </row>
        <row r="153">
          <cell r="B153" t="str">
            <v>Clissold Park PCN</v>
          </cell>
          <cell r="C153">
            <v>14.3</v>
          </cell>
          <cell r="D153">
            <v>15.3</v>
          </cell>
          <cell r="E153">
            <v>12.6</v>
          </cell>
        </row>
        <row r="154">
          <cell r="B154" t="str">
            <v>Hackney Marshes PCN</v>
          </cell>
          <cell r="C154">
            <v>14.8</v>
          </cell>
          <cell r="D154">
            <v>14.3</v>
          </cell>
          <cell r="E154">
            <v>12.6</v>
          </cell>
        </row>
        <row r="155">
          <cell r="B155" t="str">
            <v>London Fields PCN</v>
          </cell>
          <cell r="C155">
            <v>13.7</v>
          </cell>
          <cell r="D155">
            <v>13.9</v>
          </cell>
          <cell r="E155">
            <v>12.6</v>
          </cell>
        </row>
        <row r="156">
          <cell r="B156" t="str">
            <v>Woodberry Wetlands PCN</v>
          </cell>
          <cell r="C156">
            <v>15.7</v>
          </cell>
          <cell r="D156">
            <v>13.3</v>
          </cell>
          <cell r="E156">
            <v>12.6</v>
          </cell>
        </row>
        <row r="157">
          <cell r="B157" t="str">
            <v>Well Street Common</v>
          </cell>
          <cell r="C157">
            <v>13.5</v>
          </cell>
          <cell r="D157">
            <v>12.8</v>
          </cell>
          <cell r="E157">
            <v>12.6</v>
          </cell>
        </row>
        <row r="158">
          <cell r="B158" t="str">
            <v>Hackney Downs PCN</v>
          </cell>
          <cell r="C158">
            <v>12.3</v>
          </cell>
          <cell r="D158">
            <v>11.6</v>
          </cell>
          <cell r="E158">
            <v>12.6</v>
          </cell>
        </row>
        <row r="159">
          <cell r="B159" t="str">
            <v>Shoreditch Park PCN</v>
          </cell>
          <cell r="C159">
            <v>11.6</v>
          </cell>
          <cell r="D159">
            <v>10.199999999999999</v>
          </cell>
          <cell r="E159">
            <v>12.6</v>
          </cell>
        </row>
      </sheetData>
      <sheetData sheetId="11"/>
      <sheetData sheetId="12"/>
      <sheetData sheetId="13">
        <row r="4">
          <cell r="B4" t="str">
            <v>Sum of Value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S309"/>
  <sheetViews>
    <sheetView showGridLines="0" tabSelected="1" topLeftCell="B1" zoomScale="70" zoomScaleNormal="70" workbookViewId="0">
      <selection activeCell="C8" sqref="C8"/>
    </sheetView>
  </sheetViews>
  <sheetFormatPr defaultRowHeight="14.25" x14ac:dyDescent="0.2"/>
  <cols>
    <col min="1" max="1" width="8.625" hidden="1" customWidth="1"/>
    <col min="2" max="2" width="25.75" bestFit="1" customWidth="1"/>
    <col min="3" max="3" width="30.125" bestFit="1" customWidth="1"/>
    <col min="4" max="4" width="10.75" customWidth="1"/>
    <col min="5" max="5" width="12.375" bestFit="1" customWidth="1"/>
    <col min="6" max="6" width="12" bestFit="1" customWidth="1"/>
    <col min="7" max="7" width="10.375" customWidth="1"/>
    <col min="8" max="8" width="0.375" customWidth="1"/>
    <col min="9" max="9" width="13.375" customWidth="1"/>
    <col min="10" max="10" width="11.25" customWidth="1"/>
    <col min="11" max="13" width="10.75" customWidth="1"/>
    <col min="14" max="14" width="10.625" customWidth="1"/>
    <col min="15" max="15" width="10.125" customWidth="1"/>
  </cols>
  <sheetData>
    <row r="1" spans="2:19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9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2:19" ht="33" customHeight="1" x14ac:dyDescent="0.2">
      <c r="B5" s="3"/>
      <c r="C5" s="3"/>
      <c r="D5" s="3"/>
      <c r="E5" s="3"/>
      <c r="F5" s="3"/>
      <c r="G5" s="3"/>
      <c r="H5" s="3"/>
    </row>
    <row r="6" spans="2:19" ht="14.25" customHeight="1" x14ac:dyDescent="0.2">
      <c r="B6" s="4" t="s">
        <v>1</v>
      </c>
      <c r="C6" s="5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14.25" customHeight="1" x14ac:dyDescent="0.2">
      <c r="B7" s="8" t="s">
        <v>2</v>
      </c>
      <c r="C7" s="9" t="str">
        <f>'[1]A&amp;E'!C7</f>
        <v>Oct-21 to Mar-22</v>
      </c>
      <c r="D7" s="10"/>
      <c r="E7" s="10"/>
      <c r="F7" s="10"/>
      <c r="G7" s="7"/>
      <c r="H7" s="7"/>
      <c r="I7" s="7"/>
      <c r="J7" s="7"/>
      <c r="K7" s="7"/>
      <c r="L7" s="11" t="s">
        <v>3</v>
      </c>
      <c r="M7" s="11"/>
      <c r="N7" s="11"/>
      <c r="O7" s="11"/>
    </row>
    <row r="8" spans="2:19" ht="15" x14ac:dyDescent="0.25">
      <c r="B8" s="12" t="s">
        <v>4</v>
      </c>
      <c r="C8" s="13" t="str">
        <f>'[1]A&amp;E'!C8</f>
        <v>Apr-22 to Sep-22</v>
      </c>
      <c r="D8" s="14"/>
      <c r="E8" s="14"/>
      <c r="F8" s="14"/>
    </row>
    <row r="9" spans="2:19" ht="15" thickBot="1" x14ac:dyDescent="0.25"/>
    <row r="10" spans="2:19" ht="17.25" thickTop="1" x14ac:dyDescent="0.3">
      <c r="B10" s="15"/>
      <c r="C10" s="16"/>
      <c r="D10" s="17"/>
      <c r="E10" s="18" t="s">
        <v>5</v>
      </c>
      <c r="F10" s="18"/>
      <c r="G10" s="18"/>
      <c r="H10" s="19"/>
      <c r="I10" s="18" t="s">
        <v>6</v>
      </c>
      <c r="J10" s="18"/>
      <c r="K10" s="18"/>
      <c r="P10" s="20" t="s">
        <v>7</v>
      </c>
    </row>
    <row r="11" spans="2:19" ht="16.5" x14ac:dyDescent="0.3">
      <c r="B11" s="21" t="s">
        <v>8</v>
      </c>
      <c r="C11" s="22" t="s">
        <v>9</v>
      </c>
      <c r="D11" s="23" t="s">
        <v>10</v>
      </c>
      <c r="E11" s="24" t="s">
        <v>2</v>
      </c>
      <c r="F11" s="24" t="s">
        <v>4</v>
      </c>
      <c r="G11" s="25" t="s">
        <v>11</v>
      </c>
      <c r="H11" s="26"/>
      <c r="I11" s="24" t="s">
        <v>2</v>
      </c>
      <c r="J11" s="24" t="s">
        <v>4</v>
      </c>
      <c r="K11" s="25" t="s">
        <v>12</v>
      </c>
      <c r="L11" s="27" t="s">
        <v>13</v>
      </c>
      <c r="M11" s="27" t="s">
        <v>14</v>
      </c>
      <c r="N11" s="28"/>
      <c r="O11" s="28"/>
    </row>
    <row r="12" spans="2:19" ht="16.5" x14ac:dyDescent="0.3">
      <c r="B12" s="29" t="s">
        <v>15</v>
      </c>
      <c r="C12" s="30" t="s">
        <v>16</v>
      </c>
      <c r="D12" s="30" t="s">
        <v>17</v>
      </c>
      <c r="E12" s="30">
        <f>IFERROR(IF($L$7="all",GETPIVOTDATA("ACTION_CD",'[1]A&amp;G Back'!$B$6,"REFERRING_ORG_ID",$D12,"Period",E$11),GETPIVOTDATA("ACTION_CD",'[1]A&amp;G Back'!$B$6,"REFERRING_ORG_ID",$D12,"Period",E$11,"Provider group",$L$7)),"")</f>
        <v>204</v>
      </c>
      <c r="F12" s="30">
        <f>IFERROR(IF($L$7="all",GETPIVOTDATA("ACTION_CD",'[1]A&amp;G Back'!$B$6,"REFERRING_ORG_ID",$D12,"Period",F$11),GETPIVOTDATA("ACTION_CD",'[1]A&amp;G Back'!$B$6,"REFERRING_ORG_ID",$D12,"Period",F$11,"Provider group",$L$7)),"")</f>
        <v>192</v>
      </c>
      <c r="G12" s="31">
        <f>IFERROR(F12/E12-1,"")</f>
        <v>-5.8823529411764719E-2</v>
      </c>
      <c r="H12" s="32"/>
      <c r="I12" s="30">
        <f>IFERROR(ROUND(E12/L12*1000,1),"")</f>
        <v>16.600000000000001</v>
      </c>
      <c r="J12" s="30">
        <f>IFERROR(ROUND(F12/M12*1000,1),"")</f>
        <v>15.7</v>
      </c>
      <c r="K12" s="33" t="str">
        <f>IF(J12&gt;I12,"p",IF(I12=J12,"I","q"))</f>
        <v>q</v>
      </c>
      <c r="L12" s="27">
        <f>GETPIVOTDATA("Value",[1]Population!$B$4,"Organisation_code",$D12,"Periods","T1")</f>
        <v>12258</v>
      </c>
      <c r="M12" s="27">
        <f>GETPIVOTDATA("Value",[1]Population!$B$4,"Organisation_code",$D12,"Periods","T2")</f>
        <v>12209</v>
      </c>
      <c r="N12" s="28"/>
      <c r="O12" s="28"/>
    </row>
    <row r="13" spans="2:19" ht="16.5" x14ac:dyDescent="0.3">
      <c r="B13" s="34"/>
      <c r="C13" s="30" t="s">
        <v>18</v>
      </c>
      <c r="D13" s="30" t="s">
        <v>19</v>
      </c>
      <c r="E13" s="30">
        <f>IFERROR(IF($L$7="all",GETPIVOTDATA("ACTION_CD",'[1]A&amp;G Back'!$B$6,"REFERRING_ORG_ID",$D13,"Period",E$11),GETPIVOTDATA("ACTION_CD",'[1]A&amp;G Back'!$B$6,"REFERRING_ORG_ID",$D13,"Period",E$11,"Provider group",$L$7)),"")</f>
        <v>210</v>
      </c>
      <c r="F13" s="30">
        <f>IFERROR(IF($L$7="all",GETPIVOTDATA("ACTION_CD",'[1]A&amp;G Back'!$B$6,"REFERRING_ORG_ID",$D13,"Period",F$11),GETPIVOTDATA("ACTION_CD",'[1]A&amp;G Back'!$B$6,"REFERRING_ORG_ID",$D13,"Period",F$11,"Provider group",$L$7)),"")</f>
        <v>253</v>
      </c>
      <c r="G13" s="31">
        <f>IFERROR(F13/E13-1,"")</f>
        <v>0.2047619047619047</v>
      </c>
      <c r="H13" s="32"/>
      <c r="I13" s="30">
        <f t="shared" ref="I13:J15" si="0">IFERROR(ROUND(E13/L13*1000,1),"")</f>
        <v>17.600000000000001</v>
      </c>
      <c r="J13" s="30">
        <f t="shared" si="0"/>
        <v>21.3</v>
      </c>
      <c r="K13" s="35" t="str">
        <f t="shared" ref="K13:K57" si="1">IF(J13&gt;I13,"p",IF(I13=J13,"I","q"))</f>
        <v>p</v>
      </c>
      <c r="L13" s="27">
        <f>GETPIVOTDATA("Value",[1]Population!$B$4,"Organisation_code",$D13,"Periods","T1")</f>
        <v>11965</v>
      </c>
      <c r="M13" s="27">
        <f>GETPIVOTDATA("Value",[1]Population!$B$4,"Organisation_code",$D13,"Periods","T2")</f>
        <v>11898</v>
      </c>
      <c r="N13" s="28"/>
      <c r="O13" s="28"/>
    </row>
    <row r="14" spans="2:19" ht="16.5" x14ac:dyDescent="0.3">
      <c r="B14" s="34"/>
      <c r="C14" s="30" t="s">
        <v>20</v>
      </c>
      <c r="D14" s="30" t="s">
        <v>21</v>
      </c>
      <c r="E14" s="30">
        <f>IFERROR(IF($L$7="all",GETPIVOTDATA("ACTION_CD",'[1]A&amp;G Back'!$B$6,"REFERRING_ORG_ID",$D14,"Period",E$11),GETPIVOTDATA("ACTION_CD",'[1]A&amp;G Back'!$B$6,"REFERRING_ORG_ID",$D14,"Period",E$11,"Provider group",$L$7)),"")</f>
        <v>52</v>
      </c>
      <c r="F14" s="30">
        <f>IFERROR(IF($L$7="all",GETPIVOTDATA("ACTION_CD",'[1]A&amp;G Back'!$B$6,"REFERRING_ORG_ID",$D14,"Period",F$11),GETPIVOTDATA("ACTION_CD",'[1]A&amp;G Back'!$B$6,"REFERRING_ORG_ID",$D14,"Period",F$11,"Provider group",$L$7)),"")</f>
        <v>59</v>
      </c>
      <c r="G14" s="31">
        <f>IFERROR(F14/E14-1,"")</f>
        <v>0.13461538461538458</v>
      </c>
      <c r="H14" s="32"/>
      <c r="I14" s="30">
        <f t="shared" si="0"/>
        <v>7.9</v>
      </c>
      <c r="J14" s="30">
        <f t="shared" si="0"/>
        <v>8.9</v>
      </c>
      <c r="K14" s="35" t="str">
        <f t="shared" si="1"/>
        <v>p</v>
      </c>
      <c r="L14" s="27">
        <f>GETPIVOTDATA("Value",[1]Population!$B$4,"Organisation_code",$D14,"Periods","T1")</f>
        <v>6615</v>
      </c>
      <c r="M14" s="27">
        <f>GETPIVOTDATA("Value",[1]Population!$B$4,"Organisation_code",$D14,"Periods","T2")</f>
        <v>6645</v>
      </c>
      <c r="N14" s="28"/>
      <c r="O14" s="28"/>
    </row>
    <row r="15" spans="2:19" ht="16.5" x14ac:dyDescent="0.3">
      <c r="B15" s="34"/>
      <c r="C15" s="30" t="s">
        <v>22</v>
      </c>
      <c r="D15" s="30" t="s">
        <v>23</v>
      </c>
      <c r="E15" s="30">
        <f>IFERROR(IF($L$7="all",GETPIVOTDATA("ACTION_CD",'[1]A&amp;G Back'!$B$6,"REFERRING_ORG_ID",$D15,"Period",E$11),GETPIVOTDATA("ACTION_CD",'[1]A&amp;G Back'!$B$6,"REFERRING_ORG_ID",$D15,"Period",E$11,"Provider group",$L$7)),"")</f>
        <v>42</v>
      </c>
      <c r="F15" s="30">
        <f>IFERROR(IF($L$7="all",GETPIVOTDATA("ACTION_CD",'[1]A&amp;G Back'!$B$6,"REFERRING_ORG_ID",$D15,"Period",F$11),GETPIVOTDATA("ACTION_CD",'[1]A&amp;G Back'!$B$6,"REFERRING_ORG_ID",$D15,"Period",F$11,"Provider group",$L$7)),"")</f>
        <v>37</v>
      </c>
      <c r="G15" s="31">
        <f>IFERROR(F15/E15-1,"")</f>
        <v>-0.11904761904761907</v>
      </c>
      <c r="H15" s="32"/>
      <c r="I15" s="30">
        <f t="shared" si="0"/>
        <v>9.1</v>
      </c>
      <c r="J15" s="30">
        <f t="shared" si="0"/>
        <v>7.9</v>
      </c>
      <c r="K15" s="35" t="str">
        <f t="shared" si="1"/>
        <v>q</v>
      </c>
      <c r="L15" s="27">
        <f>GETPIVOTDATA("Value",[1]Population!$B$4,"Organisation_code",$D15,"Periods","T1")</f>
        <v>4615</v>
      </c>
      <c r="M15" s="27">
        <f>GETPIVOTDATA("Value",[1]Population!$B$4,"Organisation_code",$D15,"Periods","T2")</f>
        <v>4712</v>
      </c>
      <c r="N15" s="28"/>
      <c r="O15" s="28"/>
    </row>
    <row r="16" spans="2:19" ht="16.5" x14ac:dyDescent="0.3">
      <c r="B16" s="36"/>
      <c r="C16" s="37" t="s">
        <v>15</v>
      </c>
      <c r="D16" s="38"/>
      <c r="E16" s="39">
        <f>SUM(E12:E15)</f>
        <v>508</v>
      </c>
      <c r="F16" s="39">
        <f>SUM(F12:F15)</f>
        <v>541</v>
      </c>
      <c r="G16" s="40">
        <f t="shared" ref="G16:G52" si="2">F16/E16-1</f>
        <v>6.4960629921259949E-2</v>
      </c>
      <c r="H16" s="41"/>
      <c r="I16" s="42">
        <f t="shared" ref="I16:J57" si="3">ROUND(E16/L16*1000,1)</f>
        <v>14.3</v>
      </c>
      <c r="J16" s="42">
        <f t="shared" si="3"/>
        <v>15.3</v>
      </c>
      <c r="K16" s="43" t="str">
        <f t="shared" si="1"/>
        <v>p</v>
      </c>
      <c r="L16" s="27">
        <f>SUM(L12:L15)</f>
        <v>35453</v>
      </c>
      <c r="M16" s="27">
        <f>SUM(M12:M15)</f>
        <v>35464</v>
      </c>
      <c r="N16" s="28"/>
      <c r="O16" s="28"/>
    </row>
    <row r="17" spans="2:15" ht="16.5" x14ac:dyDescent="0.3">
      <c r="B17" s="29" t="s">
        <v>24</v>
      </c>
      <c r="C17" s="30" t="s">
        <v>25</v>
      </c>
      <c r="D17" s="30" t="s">
        <v>26</v>
      </c>
      <c r="E17" s="30">
        <f>IFERROR(IF($L$7="all",GETPIVOTDATA("ACTION_CD",'[1]A&amp;G Back'!$B$6,"REFERRING_ORG_ID",$D17,"Period",E$11),GETPIVOTDATA("ACTION_CD",'[1]A&amp;G Back'!$B$6,"REFERRING_ORG_ID",$D17,"Period",E$11,"Provider group",$L$7)),"")</f>
        <v>269</v>
      </c>
      <c r="F17" s="30">
        <f>IFERROR(IF($L$7="all",GETPIVOTDATA("ACTION_CD",'[1]A&amp;G Back'!$B$6,"REFERRING_ORG_ID",$D17,"Period",F$11),GETPIVOTDATA("ACTION_CD",'[1]A&amp;G Back'!$B$6,"REFERRING_ORG_ID",$D17,"Period",F$11,"Provider group",$L$7)),"")</f>
        <v>256</v>
      </c>
      <c r="G17" s="31">
        <f t="shared" ref="G17:G23" si="4">IFERROR(F17/E17-1,"")</f>
        <v>-4.8327137546468446E-2</v>
      </c>
      <c r="H17" s="32"/>
      <c r="I17" s="30">
        <f t="shared" ref="I17:J23" si="5">IFERROR(ROUND(E17/L17*1000,1),"")</f>
        <v>22.2</v>
      </c>
      <c r="J17" s="30">
        <f t="shared" si="5"/>
        <v>21</v>
      </c>
      <c r="K17" s="35" t="str">
        <f t="shared" si="1"/>
        <v>q</v>
      </c>
      <c r="L17" s="27">
        <f>GETPIVOTDATA("Value",[1]Population!$B$4,"Organisation_code",$D17,"Periods","T1")</f>
        <v>12109</v>
      </c>
      <c r="M17" s="27">
        <f>GETPIVOTDATA("Value",[1]Population!$B$4,"Organisation_code",$D17,"Periods","T2")</f>
        <v>12198</v>
      </c>
      <c r="N17" s="28"/>
      <c r="O17" s="28"/>
    </row>
    <row r="18" spans="2:15" ht="16.5" x14ac:dyDescent="0.3">
      <c r="B18" s="34"/>
      <c r="C18" s="30" t="s">
        <v>27</v>
      </c>
      <c r="D18" s="30" t="s">
        <v>28</v>
      </c>
      <c r="E18" s="30">
        <f>IFERROR(IF($L$7="all",GETPIVOTDATA("ACTION_CD",'[1]A&amp;G Back'!$B$6,"REFERRING_ORG_ID",$D18,"Period",E$11),GETPIVOTDATA("ACTION_CD",'[1]A&amp;G Back'!$B$6,"REFERRING_ORG_ID",$D18,"Period",E$11,"Provider group",$L$7)),"")</f>
        <v>50</v>
      </c>
      <c r="F18" s="30">
        <f>IFERROR(IF($L$7="all",GETPIVOTDATA("ACTION_CD",'[1]A&amp;G Back'!$B$6,"REFERRING_ORG_ID",$D18,"Period",F$11),GETPIVOTDATA("ACTION_CD",'[1]A&amp;G Back'!$B$6,"REFERRING_ORG_ID",$D18,"Period",F$11,"Provider group",$L$7)),"")</f>
        <v>68</v>
      </c>
      <c r="G18" s="31">
        <f t="shared" si="4"/>
        <v>0.3600000000000001</v>
      </c>
      <c r="H18" s="32"/>
      <c r="I18" s="30">
        <f t="shared" si="5"/>
        <v>9.5</v>
      </c>
      <c r="J18" s="30">
        <f t="shared" si="5"/>
        <v>12.9</v>
      </c>
      <c r="K18" s="35" t="str">
        <f t="shared" si="1"/>
        <v>p</v>
      </c>
      <c r="L18" s="27">
        <f>GETPIVOTDATA("Value",[1]Population!$B$4,"Organisation_code",$D18,"Periods","T1")</f>
        <v>5247</v>
      </c>
      <c r="M18" s="27">
        <f>GETPIVOTDATA("Value",[1]Population!$B$4,"Organisation_code",$D18,"Periods","T2")</f>
        <v>5275</v>
      </c>
      <c r="N18" s="28"/>
      <c r="O18" s="28"/>
    </row>
    <row r="19" spans="2:15" ht="16.5" x14ac:dyDescent="0.3">
      <c r="B19" s="34"/>
      <c r="C19" s="30" t="s">
        <v>29</v>
      </c>
      <c r="D19" s="30" t="s">
        <v>30</v>
      </c>
      <c r="E19" s="30">
        <f>IFERROR(IF($L$7="all",GETPIVOTDATA("ACTION_CD",'[1]A&amp;G Back'!$B$6,"REFERRING_ORG_ID",$D19,"Period",E$11),GETPIVOTDATA("ACTION_CD",'[1]A&amp;G Back'!$B$6,"REFERRING_ORG_ID",$D19,"Period",E$11,"Provider group",$L$7)),"")</f>
        <v>72</v>
      </c>
      <c r="F19" s="30">
        <f>IFERROR(IF($L$7="all",GETPIVOTDATA("ACTION_CD",'[1]A&amp;G Back'!$B$6,"REFERRING_ORG_ID",$D19,"Period",F$11),GETPIVOTDATA("ACTION_CD",'[1]A&amp;G Back'!$B$6,"REFERRING_ORG_ID",$D19,"Period",F$11,"Provider group",$L$7)),"")</f>
        <v>56</v>
      </c>
      <c r="G19" s="31">
        <f t="shared" si="4"/>
        <v>-0.22222222222222221</v>
      </c>
      <c r="H19" s="32"/>
      <c r="I19" s="30">
        <f t="shared" si="5"/>
        <v>14.7</v>
      </c>
      <c r="J19" s="30">
        <f t="shared" si="5"/>
        <v>11.4</v>
      </c>
      <c r="K19" s="44" t="str">
        <f t="shared" si="1"/>
        <v>q</v>
      </c>
      <c r="L19" s="27">
        <f>GETPIVOTDATA("Value",[1]Population!$B$4,"Organisation_code",$D19,"Periods","T1")</f>
        <v>4902</v>
      </c>
      <c r="M19" s="27">
        <f>GETPIVOTDATA("Value",[1]Population!$B$4,"Organisation_code",$D19,"Periods","T2")</f>
        <v>4927</v>
      </c>
      <c r="N19" s="28"/>
      <c r="O19" s="28"/>
    </row>
    <row r="20" spans="2:15" ht="16.5" x14ac:dyDescent="0.3">
      <c r="B20" s="34"/>
      <c r="C20" s="30" t="s">
        <v>31</v>
      </c>
      <c r="D20" s="30" t="s">
        <v>32</v>
      </c>
      <c r="E20" s="30">
        <f>IFERROR(IF($L$7="all",GETPIVOTDATA("ACTION_CD",'[1]A&amp;G Back'!$B$6,"REFERRING_ORG_ID",$D20,"Period",E$11),GETPIVOTDATA("ACTION_CD",'[1]A&amp;G Back'!$B$6,"REFERRING_ORG_ID",$D20,"Period",E$11,"Provider group",$L$7)),"")</f>
        <v>8</v>
      </c>
      <c r="F20" s="30">
        <f>IFERROR(IF($L$7="all",GETPIVOTDATA("ACTION_CD",'[1]A&amp;G Back'!$B$6,"REFERRING_ORG_ID",$D20,"Period",F$11),GETPIVOTDATA("ACTION_CD",'[1]A&amp;G Back'!$B$6,"REFERRING_ORG_ID",$D20,"Period",F$11,"Provider group",$L$7)),"")</f>
        <v>5</v>
      </c>
      <c r="G20" s="31">
        <f t="shared" si="4"/>
        <v>-0.375</v>
      </c>
      <c r="H20" s="45"/>
      <c r="I20" s="30">
        <f t="shared" si="5"/>
        <v>1.3</v>
      </c>
      <c r="J20" s="30">
        <f t="shared" si="5"/>
        <v>0.8</v>
      </c>
      <c r="K20" s="35" t="str">
        <f t="shared" si="1"/>
        <v>q</v>
      </c>
      <c r="L20" s="27">
        <f>GETPIVOTDATA("Value",[1]Population!$B$4,"Organisation_code",$D20,"Periods","T1")</f>
        <v>6389</v>
      </c>
      <c r="M20" s="27">
        <f>GETPIVOTDATA("Value",[1]Population!$B$4,"Organisation_code",$D20,"Periods","T2")</f>
        <v>6297</v>
      </c>
      <c r="N20" s="28"/>
      <c r="O20" s="28"/>
    </row>
    <row r="21" spans="2:15" ht="16.5" x14ac:dyDescent="0.3">
      <c r="B21" s="34"/>
      <c r="C21" s="30" t="s">
        <v>33</v>
      </c>
      <c r="D21" s="30" t="s">
        <v>34</v>
      </c>
      <c r="E21" s="30">
        <f>IFERROR(IF($L$7="all",GETPIVOTDATA("ACTION_CD",'[1]A&amp;G Back'!$B$6,"REFERRING_ORG_ID",$D21,"Period",E$11),GETPIVOTDATA("ACTION_CD",'[1]A&amp;G Back'!$B$6,"REFERRING_ORG_ID",$D21,"Period",E$11,"Provider group",$L$7)),"")</f>
        <v>23</v>
      </c>
      <c r="F21" s="30">
        <f>IFERROR(IF($L$7="all",GETPIVOTDATA("ACTION_CD",'[1]A&amp;G Back'!$B$6,"REFERRING_ORG_ID",$D21,"Period",F$11),GETPIVOTDATA("ACTION_CD",'[1]A&amp;G Back'!$B$6,"REFERRING_ORG_ID",$D21,"Period",F$11,"Provider group",$L$7)),"")</f>
        <v>35</v>
      </c>
      <c r="G21" s="31">
        <f t="shared" si="4"/>
        <v>0.52173913043478271</v>
      </c>
      <c r="H21" s="45"/>
      <c r="I21" s="30">
        <f t="shared" si="5"/>
        <v>7.5</v>
      </c>
      <c r="J21" s="30">
        <f t="shared" si="5"/>
        <v>11.4</v>
      </c>
      <c r="K21" s="35" t="str">
        <f t="shared" si="1"/>
        <v>p</v>
      </c>
      <c r="L21" s="27">
        <f>GETPIVOTDATA("Value",[1]Population!$B$4,"Organisation_code",$D21,"Periods","T1")</f>
        <v>3049</v>
      </c>
      <c r="M21" s="27">
        <f>GETPIVOTDATA("Value",[1]Population!$B$4,"Organisation_code",$D21,"Periods","T2")</f>
        <v>3075</v>
      </c>
      <c r="N21" s="28"/>
      <c r="O21" s="28"/>
    </row>
    <row r="22" spans="2:15" ht="16.5" x14ac:dyDescent="0.3">
      <c r="B22" s="34"/>
      <c r="C22" s="30" t="s">
        <v>35</v>
      </c>
      <c r="D22" s="30" t="s">
        <v>36</v>
      </c>
      <c r="E22" s="30">
        <f>IFERROR(IF($L$7="all",GETPIVOTDATA("ACTION_CD",'[1]A&amp;G Back'!$B$6,"REFERRING_ORG_ID",$D22,"Period",E$11),GETPIVOTDATA("ACTION_CD",'[1]A&amp;G Back'!$B$6,"REFERRING_ORG_ID",$D22,"Period",E$11,"Provider group",$L$7)),"")</f>
        <v>11</v>
      </c>
      <c r="F22" s="30">
        <f>IFERROR(IF($L$7="all",GETPIVOTDATA("ACTION_CD",'[1]A&amp;G Back'!$B$6,"REFERRING_ORG_ID",$D22,"Period",F$11),GETPIVOTDATA("ACTION_CD",'[1]A&amp;G Back'!$B$6,"REFERRING_ORG_ID",$D22,"Period",F$11,"Provider group",$L$7)),"")</f>
        <v>7</v>
      </c>
      <c r="G22" s="31">
        <f t="shared" si="4"/>
        <v>-0.36363636363636365</v>
      </c>
      <c r="H22" s="45"/>
      <c r="I22" s="30">
        <f t="shared" si="5"/>
        <v>5.7</v>
      </c>
      <c r="J22" s="30">
        <f t="shared" si="5"/>
        <v>3.7</v>
      </c>
      <c r="K22" s="35" t="str">
        <f t="shared" si="1"/>
        <v>q</v>
      </c>
      <c r="L22" s="27">
        <f>GETPIVOTDATA("Value",[1]Population!$B$4,"Organisation_code",$D22,"Periods","T1")</f>
        <v>1929</v>
      </c>
      <c r="M22" s="27">
        <f>GETPIVOTDATA("Value",[1]Population!$B$4,"Organisation_code",$D22,"Periods","T2")</f>
        <v>1886</v>
      </c>
      <c r="N22" s="28"/>
      <c r="O22" s="28"/>
    </row>
    <row r="23" spans="2:15" ht="16.5" x14ac:dyDescent="0.3">
      <c r="B23" s="34"/>
      <c r="C23" s="30" t="s">
        <v>37</v>
      </c>
      <c r="D23" s="30" t="s">
        <v>38</v>
      </c>
      <c r="E23" s="30">
        <f>IFERROR(IF($L$7="all",GETPIVOTDATA("ACTION_CD",'[1]A&amp;G Back'!$B$6,"REFERRING_ORG_ID",$D23,"Period",E$11),GETPIVOTDATA("ACTION_CD",'[1]A&amp;G Back'!$B$6,"REFERRING_ORG_ID",$D23,"Period",E$11,"Provider group",$L$7)),"")</f>
        <v>49</v>
      </c>
      <c r="F23" s="30">
        <f>IFERROR(IF($L$7="all",GETPIVOTDATA("ACTION_CD",'[1]A&amp;G Back'!$B$6,"REFERRING_ORG_ID",$D23,"Period",F$11),GETPIVOTDATA("ACTION_CD",'[1]A&amp;G Back'!$B$6,"REFERRING_ORG_ID",$D23,"Period",F$11,"Provider group",$L$7)),"")</f>
        <v>28</v>
      </c>
      <c r="G23" s="31">
        <f t="shared" si="4"/>
        <v>-0.4285714285714286</v>
      </c>
      <c r="H23" s="32"/>
      <c r="I23" s="30">
        <f t="shared" si="5"/>
        <v>8.6999999999999993</v>
      </c>
      <c r="J23" s="30">
        <f t="shared" si="5"/>
        <v>4.9000000000000004</v>
      </c>
      <c r="K23" s="33" t="str">
        <f t="shared" si="1"/>
        <v>q</v>
      </c>
      <c r="L23" s="27">
        <f>GETPIVOTDATA("Value",[1]Population!$B$4,"Organisation_code",$D23,"Periods","T1")</f>
        <v>5656</v>
      </c>
      <c r="M23" s="27">
        <f>GETPIVOTDATA("Value",[1]Population!$B$4,"Organisation_code",$D23,"Periods","T2")</f>
        <v>5671</v>
      </c>
      <c r="N23" s="28"/>
      <c r="O23" s="28"/>
    </row>
    <row r="24" spans="2:15" ht="16.5" x14ac:dyDescent="0.3">
      <c r="B24" s="36"/>
      <c r="C24" s="37" t="s">
        <v>24</v>
      </c>
      <c r="D24" s="38"/>
      <c r="E24" s="39">
        <f>SUM(E17:E23)</f>
        <v>482</v>
      </c>
      <c r="F24" s="39">
        <f>SUM(F17:F23)</f>
        <v>455</v>
      </c>
      <c r="G24" s="40">
        <f t="shared" si="2"/>
        <v>-5.6016597510373467E-2</v>
      </c>
      <c r="H24" s="41"/>
      <c r="I24" s="42">
        <f t="shared" si="3"/>
        <v>12.3</v>
      </c>
      <c r="J24" s="42">
        <f t="shared" si="3"/>
        <v>11.6</v>
      </c>
      <c r="K24" s="43" t="str">
        <f t="shared" si="1"/>
        <v>q</v>
      </c>
      <c r="L24" s="27">
        <f>SUM(L17:L23)</f>
        <v>39281</v>
      </c>
      <c r="M24" s="27">
        <f>SUM(M17:M23)</f>
        <v>39329</v>
      </c>
      <c r="N24" s="28"/>
      <c r="O24" s="28"/>
    </row>
    <row r="25" spans="2:15" ht="16.5" x14ac:dyDescent="0.3">
      <c r="B25" s="29" t="s">
        <v>39</v>
      </c>
      <c r="C25" s="30" t="s">
        <v>40</v>
      </c>
      <c r="D25" s="30" t="s">
        <v>41</v>
      </c>
      <c r="E25" s="30">
        <f>IFERROR(IF($L$7="all",GETPIVOTDATA("ACTION_CD",'[1]A&amp;G Back'!$B$6,"REFERRING_ORG_ID",$D25,"Period",E$11),GETPIVOTDATA("ACTION_CD",'[1]A&amp;G Back'!$B$6,"REFERRING_ORG_ID",$D25,"Period",E$11,"Provider group",$L$7)),"")</f>
        <v>520</v>
      </c>
      <c r="F25" s="30">
        <f>IFERROR(IF($L$7="all",GETPIVOTDATA("ACTION_CD",'[1]A&amp;G Back'!$B$6,"REFERRING_ORG_ID",$D25,"Period",F$11),GETPIVOTDATA("ACTION_CD",'[1]A&amp;G Back'!$B$6,"REFERRING_ORG_ID",$D25,"Period",F$11,"Provider group",$L$7)),"")</f>
        <v>476</v>
      </c>
      <c r="G25" s="31">
        <f>IFERROR(F25/E25-1,"")</f>
        <v>-8.4615384615384648E-2</v>
      </c>
      <c r="H25" s="32"/>
      <c r="I25" s="30">
        <f t="shared" ref="I25:J29" si="6">IFERROR(ROUND(E25/L25*1000,1),"")</f>
        <v>34.1</v>
      </c>
      <c r="J25" s="30">
        <f t="shared" si="6"/>
        <v>31.4</v>
      </c>
      <c r="K25" s="35" t="str">
        <f t="shared" si="1"/>
        <v>q</v>
      </c>
      <c r="L25" s="27">
        <f>GETPIVOTDATA("Value",[1]Population!$B$4,"Organisation_code",$D25,"Periods","T1")</f>
        <v>15236</v>
      </c>
      <c r="M25" s="27">
        <f>GETPIVOTDATA("Value",[1]Population!$B$4,"Organisation_code",$D25,"Periods","T2")</f>
        <v>15171</v>
      </c>
      <c r="N25" s="28"/>
      <c r="O25" s="28"/>
    </row>
    <row r="26" spans="2:15" ht="16.5" x14ac:dyDescent="0.3">
      <c r="B26" s="34"/>
      <c r="C26" s="30" t="s">
        <v>42</v>
      </c>
      <c r="D26" s="30" t="s">
        <v>43</v>
      </c>
      <c r="E26" s="30">
        <f>IFERROR(IF($L$7="all",GETPIVOTDATA("ACTION_CD",'[1]A&amp;G Back'!$B$6,"REFERRING_ORG_ID",$D26,"Period",E$11),GETPIVOTDATA("ACTION_CD",'[1]A&amp;G Back'!$B$6,"REFERRING_ORG_ID",$D26,"Period",E$11,"Provider group",$L$7)),"")</f>
        <v>27</v>
      </c>
      <c r="F26" s="30">
        <f>IFERROR(IF($L$7="all",GETPIVOTDATA("ACTION_CD",'[1]A&amp;G Back'!$B$6,"REFERRING_ORG_ID",$D26,"Period",F$11),GETPIVOTDATA("ACTION_CD",'[1]A&amp;G Back'!$B$6,"REFERRING_ORG_ID",$D26,"Period",F$11,"Provider group",$L$7)),"")</f>
        <v>35</v>
      </c>
      <c r="G26" s="31">
        <f>IFERROR(F26/E26-1,"")</f>
        <v>0.29629629629629628</v>
      </c>
      <c r="H26" s="32"/>
      <c r="I26" s="30">
        <f t="shared" si="6"/>
        <v>5.5</v>
      </c>
      <c r="J26" s="30">
        <f t="shared" si="6"/>
        <v>7.1</v>
      </c>
      <c r="K26" s="44" t="str">
        <f t="shared" si="1"/>
        <v>p</v>
      </c>
      <c r="L26" s="27">
        <f>GETPIVOTDATA("Value",[1]Population!$B$4,"Organisation_code",$D26,"Periods","T1")</f>
        <v>4952</v>
      </c>
      <c r="M26" s="27">
        <f>GETPIVOTDATA("Value",[1]Population!$B$4,"Organisation_code",$D26,"Periods","T2")</f>
        <v>4943</v>
      </c>
      <c r="N26" s="28"/>
      <c r="O26" s="28"/>
    </row>
    <row r="27" spans="2:15" ht="16.5" x14ac:dyDescent="0.3">
      <c r="B27" s="34"/>
      <c r="C27" s="30" t="s">
        <v>44</v>
      </c>
      <c r="D27" s="30" t="s">
        <v>45</v>
      </c>
      <c r="E27" s="30">
        <f>IFERROR(IF($L$7="all",GETPIVOTDATA("ACTION_CD",'[1]A&amp;G Back'!$B$6,"REFERRING_ORG_ID",$D27,"Period",E$11),GETPIVOTDATA("ACTION_CD",'[1]A&amp;G Back'!$B$6,"REFERRING_ORG_ID",$D27,"Period",E$11,"Provider group",$L$7)),"")</f>
        <v>47</v>
      </c>
      <c r="F27" s="30">
        <f>IFERROR(IF($L$7="all",GETPIVOTDATA("ACTION_CD",'[1]A&amp;G Back'!$B$6,"REFERRING_ORG_ID",$D27,"Period",F$11),GETPIVOTDATA("ACTION_CD",'[1]A&amp;G Back'!$B$6,"REFERRING_ORG_ID",$D27,"Period",F$11,"Provider group",$L$7)),"")</f>
        <v>58</v>
      </c>
      <c r="G27" s="31">
        <f>IFERROR(F27/E27-1,"")</f>
        <v>0.23404255319148937</v>
      </c>
      <c r="H27" s="45"/>
      <c r="I27" s="30">
        <f t="shared" si="6"/>
        <v>3.9</v>
      </c>
      <c r="J27" s="30">
        <f t="shared" si="6"/>
        <v>4.9000000000000004</v>
      </c>
      <c r="K27" s="35" t="str">
        <f t="shared" si="1"/>
        <v>p</v>
      </c>
      <c r="L27" s="27">
        <f>GETPIVOTDATA("Value",[1]Population!$B$4,"Organisation_code",$D27,"Periods","T1")</f>
        <v>11908</v>
      </c>
      <c r="M27" s="27">
        <f>GETPIVOTDATA("Value",[1]Population!$B$4,"Organisation_code",$D27,"Periods","T2")</f>
        <v>11831</v>
      </c>
      <c r="N27" s="28"/>
      <c r="O27" s="28"/>
    </row>
    <row r="28" spans="2:15" ht="16.5" x14ac:dyDescent="0.3">
      <c r="B28" s="34"/>
      <c r="C28" s="30" t="s">
        <v>46</v>
      </c>
      <c r="D28" s="30" t="s">
        <v>47</v>
      </c>
      <c r="E28" s="30">
        <f>IFERROR(IF($L$7="all",GETPIVOTDATA("ACTION_CD",'[1]A&amp;G Back'!$B$6,"REFERRING_ORG_ID",$D28,"Period",E$11),GETPIVOTDATA("ACTION_CD",'[1]A&amp;G Back'!$B$6,"REFERRING_ORG_ID",$D28,"Period",E$11,"Provider group",$L$7)),"")</f>
        <v>20</v>
      </c>
      <c r="F28" s="30">
        <f>IFERROR(IF($L$7="all",GETPIVOTDATA("ACTION_CD",'[1]A&amp;G Back'!$B$6,"REFERRING_ORG_ID",$D28,"Period",F$11),GETPIVOTDATA("ACTION_CD",'[1]A&amp;G Back'!$B$6,"REFERRING_ORG_ID",$D28,"Period",F$11,"Provider group",$L$7)),"")</f>
        <v>21</v>
      </c>
      <c r="G28" s="31">
        <f>IFERROR(F28/E28-1,"")</f>
        <v>5.0000000000000044E-2</v>
      </c>
      <c r="H28" s="45"/>
      <c r="I28" s="30">
        <f t="shared" si="6"/>
        <v>3.7</v>
      </c>
      <c r="J28" s="30">
        <f t="shared" si="6"/>
        <v>4</v>
      </c>
      <c r="K28" s="35" t="str">
        <f t="shared" si="1"/>
        <v>p</v>
      </c>
      <c r="L28" s="27">
        <f>GETPIVOTDATA("Value",[1]Population!$B$4,"Organisation_code",$D28,"Periods","T1")</f>
        <v>5337</v>
      </c>
      <c r="M28" s="27">
        <f>GETPIVOTDATA("Value",[1]Population!$B$4,"Organisation_code",$D28,"Periods","T2")</f>
        <v>5313</v>
      </c>
      <c r="N28" s="28"/>
      <c r="O28" s="28"/>
    </row>
    <row r="29" spans="2:15" ht="16.5" x14ac:dyDescent="0.3">
      <c r="B29" s="34"/>
      <c r="C29" s="30" t="s">
        <v>48</v>
      </c>
      <c r="D29" s="30" t="s">
        <v>49</v>
      </c>
      <c r="E29" s="30">
        <f>IFERROR(IF($L$7="all",GETPIVOTDATA("ACTION_CD",'[1]A&amp;G Back'!$B$6,"REFERRING_ORG_ID",$D29,"Period",E$11),GETPIVOTDATA("ACTION_CD",'[1]A&amp;G Back'!$B$6,"REFERRING_ORG_ID",$D29,"Period",E$11,"Provider group",$L$7)),"")</f>
        <v>21</v>
      </c>
      <c r="F29" s="30">
        <f>IFERROR(IF($L$7="all",GETPIVOTDATA("ACTION_CD",'[1]A&amp;G Back'!$B$6,"REFERRING_ORG_ID",$D29,"Period",F$11),GETPIVOTDATA("ACTION_CD",'[1]A&amp;G Back'!$B$6,"REFERRING_ORG_ID",$D29,"Period",F$11,"Provider group",$L$7)),"")</f>
        <v>18</v>
      </c>
      <c r="G29" s="31">
        <f>IFERROR(F29/E29-1,"")</f>
        <v>-0.1428571428571429</v>
      </c>
      <c r="H29" s="32"/>
      <c r="I29" s="30">
        <f t="shared" si="6"/>
        <v>3.9</v>
      </c>
      <c r="J29" s="30">
        <f t="shared" si="6"/>
        <v>3.3</v>
      </c>
      <c r="K29" s="33" t="str">
        <f t="shared" si="1"/>
        <v>q</v>
      </c>
      <c r="L29" s="27">
        <f>GETPIVOTDATA("Value",[1]Population!$B$4,"Organisation_code",$D29,"Periods","T1")</f>
        <v>5425</v>
      </c>
      <c r="M29" s="27">
        <f>GETPIVOTDATA("Value",[1]Population!$B$4,"Organisation_code",$D29,"Periods","T2")</f>
        <v>5399</v>
      </c>
      <c r="N29" s="28"/>
      <c r="O29" s="28"/>
    </row>
    <row r="30" spans="2:15" ht="16.5" x14ac:dyDescent="0.3">
      <c r="B30" s="36"/>
      <c r="C30" s="37" t="s">
        <v>39</v>
      </c>
      <c r="D30" s="38"/>
      <c r="E30" s="39">
        <f>SUM(E25:E29)</f>
        <v>635</v>
      </c>
      <c r="F30" s="39">
        <f>SUM(F25:F29)</f>
        <v>608</v>
      </c>
      <c r="G30" s="40">
        <f t="shared" si="2"/>
        <v>-4.2519685039370092E-2</v>
      </c>
      <c r="H30" s="41"/>
      <c r="I30" s="42">
        <f t="shared" si="3"/>
        <v>14.8</v>
      </c>
      <c r="J30" s="42">
        <f t="shared" si="3"/>
        <v>14.3</v>
      </c>
      <c r="K30" s="43" t="str">
        <f t="shared" si="1"/>
        <v>q</v>
      </c>
      <c r="L30" s="27">
        <f>SUM(L25:L29)</f>
        <v>42858</v>
      </c>
      <c r="M30" s="27">
        <f>SUM(M25:M29)</f>
        <v>42657</v>
      </c>
      <c r="N30" s="28"/>
      <c r="O30" s="28"/>
    </row>
    <row r="31" spans="2:15" ht="16.5" x14ac:dyDescent="0.3">
      <c r="B31" s="29" t="s">
        <v>50</v>
      </c>
      <c r="C31" s="30" t="s">
        <v>51</v>
      </c>
      <c r="D31" s="30" t="s">
        <v>52</v>
      </c>
      <c r="E31" s="30">
        <f>IFERROR(IF($L$7="all",GETPIVOTDATA("ACTION_CD",'[1]A&amp;G Back'!$B$6,"REFERRING_ORG_ID",$D31,"Period",E$11),GETPIVOTDATA("ACTION_CD",'[1]A&amp;G Back'!$B$6,"REFERRING_ORG_ID",$D31,"Period",E$11,"Provider group",$L$7)),"")</f>
        <v>128</v>
      </c>
      <c r="F31" s="30">
        <f>IFERROR(IF($L$7="all",GETPIVOTDATA("ACTION_CD",'[1]A&amp;G Back'!$B$6,"REFERRING_ORG_ID",$D31,"Period",F$11),GETPIVOTDATA("ACTION_CD",'[1]A&amp;G Back'!$B$6,"REFERRING_ORG_ID",$D31,"Period",F$11,"Provider group",$L$7)),"")</f>
        <v>114</v>
      </c>
      <c r="G31" s="31">
        <f t="shared" ref="G31:G36" si="7">IFERROR(F31/E31-1,"")</f>
        <v>-0.109375</v>
      </c>
      <c r="H31" s="32"/>
      <c r="I31" s="30">
        <f t="shared" ref="I31:J36" si="8">IFERROR(ROUND(E31/L31*1000,1),"")</f>
        <v>11.8</v>
      </c>
      <c r="J31" s="30">
        <f t="shared" si="8"/>
        <v>10.5</v>
      </c>
      <c r="K31" s="35" t="str">
        <f t="shared" si="1"/>
        <v>q</v>
      </c>
      <c r="L31" s="27">
        <f>GETPIVOTDATA("Value",[1]Population!$B$4,"Organisation_code",$D31,"Periods","T1")</f>
        <v>10828</v>
      </c>
      <c r="M31" s="27">
        <f>GETPIVOTDATA("Value",[1]Population!$B$4,"Organisation_code",$D31,"Periods","T2")</f>
        <v>10883</v>
      </c>
      <c r="N31" s="28"/>
      <c r="O31" s="28"/>
    </row>
    <row r="32" spans="2:15" ht="16.5" x14ac:dyDescent="0.3">
      <c r="B32" s="34"/>
      <c r="C32" s="30" t="s">
        <v>53</v>
      </c>
      <c r="D32" s="30" t="s">
        <v>54</v>
      </c>
      <c r="E32" s="30">
        <f>IFERROR(IF($L$7="all",GETPIVOTDATA("ACTION_CD",'[1]A&amp;G Back'!$B$6,"REFERRING_ORG_ID",$D32,"Period",E$11),GETPIVOTDATA("ACTION_CD",'[1]A&amp;G Back'!$B$6,"REFERRING_ORG_ID",$D32,"Period",E$11,"Provider group",$L$7)),"")</f>
        <v>204</v>
      </c>
      <c r="F32" s="30">
        <f>IFERROR(IF($L$7="all",GETPIVOTDATA("ACTION_CD",'[1]A&amp;G Back'!$B$6,"REFERRING_ORG_ID",$D32,"Period",F$11),GETPIVOTDATA("ACTION_CD",'[1]A&amp;G Back'!$B$6,"REFERRING_ORG_ID",$D32,"Period",F$11,"Provider group",$L$7)),"")</f>
        <v>262</v>
      </c>
      <c r="G32" s="31">
        <f t="shared" si="7"/>
        <v>0.28431372549019618</v>
      </c>
      <c r="H32" s="46"/>
      <c r="I32" s="30">
        <f t="shared" si="8"/>
        <v>13.1</v>
      </c>
      <c r="J32" s="30">
        <f t="shared" si="8"/>
        <v>15.5</v>
      </c>
      <c r="K32" s="35" t="str">
        <f t="shared" si="1"/>
        <v>p</v>
      </c>
      <c r="L32" s="27">
        <f>GETPIVOTDATA("Value",[1]Population!$B$4,"Organisation_code",$D32,"Periods","T1")</f>
        <v>15599</v>
      </c>
      <c r="M32" s="27">
        <f>GETPIVOTDATA("Value",[1]Population!$B$4,"Organisation_code",$D32,"Periods","T2")</f>
        <v>16879</v>
      </c>
      <c r="N32" s="28"/>
      <c r="O32" s="28"/>
    </row>
    <row r="33" spans="2:15" ht="16.5" x14ac:dyDescent="0.3">
      <c r="B33" s="34"/>
      <c r="C33" s="30" t="s">
        <v>55</v>
      </c>
      <c r="D33" s="30" t="s">
        <v>56</v>
      </c>
      <c r="E33" s="30">
        <f>IFERROR(IF($L$7="all",GETPIVOTDATA("ACTION_CD",'[1]A&amp;G Back'!$B$6,"REFERRING_ORG_ID",$D33,"Period",E$11),GETPIVOTDATA("ACTION_CD",'[1]A&amp;G Back'!$B$6,"REFERRING_ORG_ID",$D33,"Period",E$11,"Provider group",$L$7)),"")</f>
        <v>7</v>
      </c>
      <c r="F33" s="30">
        <f>IFERROR(IF($L$7="all",GETPIVOTDATA("ACTION_CD",'[1]A&amp;G Back'!$B$6,"REFERRING_ORG_ID",$D33,"Period",F$11),GETPIVOTDATA("ACTION_CD",'[1]A&amp;G Back'!$B$6,"REFERRING_ORG_ID",$D33,"Period",F$11,"Provider group",$L$7)),"")</f>
        <v>25</v>
      </c>
      <c r="G33" s="31">
        <f t="shared" si="7"/>
        <v>2.5714285714285716</v>
      </c>
      <c r="H33" s="46"/>
      <c r="I33" s="30">
        <f t="shared" si="8"/>
        <v>1.8</v>
      </c>
      <c r="J33" s="30">
        <f t="shared" si="8"/>
        <v>6.4</v>
      </c>
      <c r="K33" s="44" t="str">
        <f t="shared" si="1"/>
        <v>p</v>
      </c>
      <c r="L33" s="27">
        <f>GETPIVOTDATA("Value",[1]Population!$B$4,"Organisation_code",$D33,"Periods","T1")</f>
        <v>3963</v>
      </c>
      <c r="M33" s="27">
        <f>GETPIVOTDATA("Value",[1]Population!$B$4,"Organisation_code",$D33,"Periods","T2")</f>
        <v>3893</v>
      </c>
      <c r="N33" s="28"/>
      <c r="O33" s="28"/>
    </row>
    <row r="34" spans="2:15" ht="16.5" x14ac:dyDescent="0.3">
      <c r="B34" s="34"/>
      <c r="C34" s="30" t="s">
        <v>57</v>
      </c>
      <c r="D34" s="30" t="s">
        <v>58</v>
      </c>
      <c r="E34" s="30">
        <f>IFERROR(IF($L$7="all",GETPIVOTDATA("ACTION_CD",'[1]A&amp;G Back'!$B$6,"REFERRING_ORG_ID",$D34,"Period",E$11),GETPIVOTDATA("ACTION_CD",'[1]A&amp;G Back'!$B$6,"REFERRING_ORG_ID",$D34,"Period",E$11,"Provider group",$L$7)),"")</f>
        <v>66</v>
      </c>
      <c r="F34" s="30">
        <f>IFERROR(IF($L$7="all",GETPIVOTDATA("ACTION_CD",'[1]A&amp;G Back'!$B$6,"REFERRING_ORG_ID",$D34,"Period",F$11),GETPIVOTDATA("ACTION_CD",'[1]A&amp;G Back'!$B$6,"REFERRING_ORG_ID",$D34,"Period",F$11,"Provider group",$L$7)),"")</f>
        <v>45</v>
      </c>
      <c r="G34" s="31">
        <f t="shared" si="7"/>
        <v>-0.31818181818181823</v>
      </c>
      <c r="H34" s="45"/>
      <c r="I34" s="30">
        <f t="shared" si="8"/>
        <v>11</v>
      </c>
      <c r="J34" s="30">
        <f t="shared" si="8"/>
        <v>7.5</v>
      </c>
      <c r="K34" s="35" t="str">
        <f t="shared" si="1"/>
        <v>q</v>
      </c>
      <c r="L34" s="27">
        <f>GETPIVOTDATA("Value",[1]Population!$B$4,"Organisation_code",$D34,"Periods","T1")</f>
        <v>6026</v>
      </c>
      <c r="M34" s="27">
        <f>GETPIVOTDATA("Value",[1]Population!$B$4,"Organisation_code",$D34,"Periods","T2")</f>
        <v>5973</v>
      </c>
      <c r="N34" s="28"/>
      <c r="O34" s="28"/>
    </row>
    <row r="35" spans="2:15" ht="16.5" x14ac:dyDescent="0.3">
      <c r="B35" s="34"/>
      <c r="C35" s="30" t="s">
        <v>59</v>
      </c>
      <c r="D35" s="30" t="s">
        <v>60</v>
      </c>
      <c r="E35" s="30">
        <f>IFERROR(IF($L$7="all",GETPIVOTDATA("ACTION_CD",'[1]A&amp;G Back'!$B$6,"REFERRING_ORG_ID",$D35,"Period",E$11),GETPIVOTDATA("ACTION_CD",'[1]A&amp;G Back'!$B$6,"REFERRING_ORG_ID",$D35,"Period",E$11,"Provider group",$L$7)),"")</f>
        <v>236</v>
      </c>
      <c r="F35" s="30">
        <f>IFERROR(IF($L$7="all",GETPIVOTDATA("ACTION_CD",'[1]A&amp;G Back'!$B$6,"REFERRING_ORG_ID",$D35,"Period",F$11),GETPIVOTDATA("ACTION_CD",'[1]A&amp;G Back'!$B$6,"REFERRING_ORG_ID",$D35,"Period",F$11,"Provider group",$L$7)),"")</f>
        <v>244</v>
      </c>
      <c r="G35" s="31">
        <f t="shared" si="7"/>
        <v>3.3898305084745672E-2</v>
      </c>
      <c r="H35" s="45"/>
      <c r="I35" s="30">
        <f t="shared" si="8"/>
        <v>23.1</v>
      </c>
      <c r="J35" s="30">
        <f t="shared" si="8"/>
        <v>23.6</v>
      </c>
      <c r="K35" s="35" t="str">
        <f t="shared" si="1"/>
        <v>p</v>
      </c>
      <c r="L35" s="27">
        <f>GETPIVOTDATA("Value",[1]Population!$B$4,"Organisation_code",$D35,"Periods","T1")</f>
        <v>10226</v>
      </c>
      <c r="M35" s="27">
        <f>GETPIVOTDATA("Value",[1]Population!$B$4,"Organisation_code",$D35,"Periods","T2")</f>
        <v>10320</v>
      </c>
      <c r="N35" s="28"/>
      <c r="O35" s="28"/>
    </row>
    <row r="36" spans="2:15" ht="16.5" x14ac:dyDescent="0.3">
      <c r="B36" s="34"/>
      <c r="C36" s="30" t="s">
        <v>61</v>
      </c>
      <c r="D36" s="30" t="s">
        <v>62</v>
      </c>
      <c r="E36" s="30">
        <f>IFERROR(IF($L$7="all",GETPIVOTDATA("ACTION_CD",'[1]A&amp;G Back'!$B$6,"REFERRING_ORG_ID",$D36,"Period",E$11),GETPIVOTDATA("ACTION_CD",'[1]A&amp;G Back'!$B$6,"REFERRING_ORG_ID",$D36,"Period",E$11,"Provider group",$L$7)),"")</f>
        <v>60</v>
      </c>
      <c r="F36" s="30">
        <f>IFERROR(IF($L$7="all",GETPIVOTDATA("ACTION_CD",'[1]A&amp;G Back'!$B$6,"REFERRING_ORG_ID",$D36,"Period",F$11),GETPIVOTDATA("ACTION_CD",'[1]A&amp;G Back'!$B$6,"REFERRING_ORG_ID",$D36,"Period",F$11,"Provider group",$L$7)),"")</f>
        <v>41</v>
      </c>
      <c r="G36" s="31">
        <f t="shared" si="7"/>
        <v>-0.31666666666666665</v>
      </c>
      <c r="H36" s="46"/>
      <c r="I36" s="30">
        <f t="shared" si="8"/>
        <v>13.8</v>
      </c>
      <c r="J36" s="30">
        <f t="shared" si="8"/>
        <v>9.1999999999999993</v>
      </c>
      <c r="K36" s="33" t="str">
        <f t="shared" si="1"/>
        <v>q</v>
      </c>
      <c r="L36" s="27">
        <f>GETPIVOTDATA("Value",[1]Population!$B$4,"Organisation_code",$D36,"Periods","T1")</f>
        <v>4361</v>
      </c>
      <c r="M36" s="27">
        <f>GETPIVOTDATA("Value",[1]Population!$B$4,"Organisation_code",$D36,"Periods","T2")</f>
        <v>4458</v>
      </c>
      <c r="N36" s="28"/>
      <c r="O36" s="28"/>
    </row>
    <row r="37" spans="2:15" ht="16.5" x14ac:dyDescent="0.3">
      <c r="B37" s="36"/>
      <c r="C37" s="37" t="s">
        <v>50</v>
      </c>
      <c r="D37" s="38"/>
      <c r="E37" s="39">
        <f>SUM(E31:E36)</f>
        <v>701</v>
      </c>
      <c r="F37" s="39">
        <f>SUM(F31:F36)</f>
        <v>731</v>
      </c>
      <c r="G37" s="40">
        <f t="shared" si="2"/>
        <v>4.2796005706134066E-2</v>
      </c>
      <c r="H37" s="41"/>
      <c r="I37" s="42">
        <f t="shared" si="3"/>
        <v>13.7</v>
      </c>
      <c r="J37" s="42">
        <f t="shared" si="3"/>
        <v>13.9</v>
      </c>
      <c r="K37" s="43" t="str">
        <f t="shared" si="1"/>
        <v>p</v>
      </c>
      <c r="L37" s="27">
        <f>SUM(L31:L36)</f>
        <v>51003</v>
      </c>
      <c r="M37" s="27">
        <f>SUM(M31:M36)</f>
        <v>52406</v>
      </c>
      <c r="N37" s="28"/>
      <c r="O37" s="28"/>
    </row>
    <row r="38" spans="2:15" ht="16.5" x14ac:dyDescent="0.3">
      <c r="B38" s="29" t="s">
        <v>63</v>
      </c>
      <c r="C38" s="30" t="s">
        <v>64</v>
      </c>
      <c r="D38" s="30" t="s">
        <v>65</v>
      </c>
      <c r="E38" s="30">
        <f>IFERROR(IF($L$7="all",GETPIVOTDATA("ACTION_CD",'[1]A&amp;G Back'!$B$6,"REFERRING_ORG_ID",$D38,"Period",E$11),GETPIVOTDATA("ACTION_CD",'[1]A&amp;G Back'!$B$6,"REFERRING_ORG_ID",$D38,"Period",E$11,"Provider group",$L$7)),"")</f>
        <v>81</v>
      </c>
      <c r="F38" s="30">
        <f>IFERROR(IF($L$7="all",GETPIVOTDATA("ACTION_CD",'[1]A&amp;G Back'!$B$6,"REFERRING_ORG_ID",$D38,"Period",F$11),GETPIVOTDATA("ACTION_CD",'[1]A&amp;G Back'!$B$6,"REFERRING_ORG_ID",$D38,"Period",F$11,"Provider group",$L$7)),"")</f>
        <v>88</v>
      </c>
      <c r="G38" s="31">
        <f t="shared" ref="G38:G45" si="9">IFERROR(F38/E38-1,"")</f>
        <v>8.6419753086419693E-2</v>
      </c>
      <c r="H38" s="32"/>
      <c r="I38" s="30">
        <f t="shared" ref="I38:J45" si="10">IFERROR(ROUND(E38/L38*1000,1),"")</f>
        <v>6.6</v>
      </c>
      <c r="J38" s="30">
        <f t="shared" si="10"/>
        <v>6.9</v>
      </c>
      <c r="K38" s="35" t="str">
        <f t="shared" si="1"/>
        <v>p</v>
      </c>
      <c r="L38" s="27">
        <f>GETPIVOTDATA("Value",[1]Population!$B$4,"Organisation_code",$D38,"Periods","T1")</f>
        <v>12283</v>
      </c>
      <c r="M38" s="27">
        <f>GETPIVOTDATA("Value",[1]Population!$B$4,"Organisation_code",$D38,"Periods","T2")</f>
        <v>12685</v>
      </c>
      <c r="N38" s="28"/>
      <c r="O38" s="28"/>
    </row>
    <row r="39" spans="2:15" ht="16.5" x14ac:dyDescent="0.3">
      <c r="B39" s="34"/>
      <c r="C39" s="30" t="s">
        <v>66</v>
      </c>
      <c r="D39" s="30" t="s">
        <v>67</v>
      </c>
      <c r="E39" s="30">
        <f>IFERROR(IF($L$7="all",GETPIVOTDATA("ACTION_CD",'[1]A&amp;G Back'!$B$6,"REFERRING_ORG_ID",$D39,"Period",E$11),GETPIVOTDATA("ACTION_CD",'[1]A&amp;G Back'!$B$6,"REFERRING_ORG_ID",$D39,"Period",E$11,"Provider group",$L$7)),"")</f>
        <v>228</v>
      </c>
      <c r="F39" s="30">
        <f>IFERROR(IF($L$7="all",GETPIVOTDATA("ACTION_CD",'[1]A&amp;G Back'!$B$6,"REFERRING_ORG_ID",$D39,"Period",F$11),GETPIVOTDATA("ACTION_CD",'[1]A&amp;G Back'!$B$6,"REFERRING_ORG_ID",$D39,"Period",F$11,"Provider group",$L$7)),"")</f>
        <v>204</v>
      </c>
      <c r="G39" s="31">
        <f t="shared" si="9"/>
        <v>-0.10526315789473684</v>
      </c>
      <c r="H39" s="32"/>
      <c r="I39" s="30">
        <f t="shared" si="10"/>
        <v>15</v>
      </c>
      <c r="J39" s="30">
        <f t="shared" si="10"/>
        <v>13.1</v>
      </c>
      <c r="K39" s="35" t="str">
        <f t="shared" si="1"/>
        <v>q</v>
      </c>
      <c r="L39" s="27">
        <f>GETPIVOTDATA("Value",[1]Population!$B$4,"Organisation_code",$D39,"Periods","T1")</f>
        <v>15195</v>
      </c>
      <c r="M39" s="27">
        <f>GETPIVOTDATA("Value",[1]Population!$B$4,"Organisation_code",$D39,"Periods","T2")</f>
        <v>15537</v>
      </c>
      <c r="N39" s="28"/>
      <c r="O39" s="28"/>
    </row>
    <row r="40" spans="2:15" ht="16.5" x14ac:dyDescent="0.3">
      <c r="B40" s="34"/>
      <c r="C40" s="30" t="s">
        <v>68</v>
      </c>
      <c r="D40" s="30" t="s">
        <v>69</v>
      </c>
      <c r="E40" s="30">
        <f>IFERROR(IF($L$7="all",GETPIVOTDATA("ACTION_CD",'[1]A&amp;G Back'!$B$6,"REFERRING_ORG_ID",$D40,"Period",E$11),GETPIVOTDATA("ACTION_CD",'[1]A&amp;G Back'!$B$6,"REFERRING_ORG_ID",$D40,"Period",E$11,"Provider group",$L$7)),"")</f>
        <v>77</v>
      </c>
      <c r="F40" s="30">
        <f>IFERROR(IF($L$7="all",GETPIVOTDATA("ACTION_CD",'[1]A&amp;G Back'!$B$6,"REFERRING_ORG_ID",$D40,"Period",F$11),GETPIVOTDATA("ACTION_CD",'[1]A&amp;G Back'!$B$6,"REFERRING_ORG_ID",$D40,"Period",F$11,"Provider group",$L$7)),"")</f>
        <v>76</v>
      </c>
      <c r="G40" s="31">
        <f t="shared" si="9"/>
        <v>-1.2987012987012991E-2</v>
      </c>
      <c r="H40" s="32"/>
      <c r="I40" s="30">
        <f t="shared" si="10"/>
        <v>7.7</v>
      </c>
      <c r="J40" s="30">
        <f t="shared" si="10"/>
        <v>8</v>
      </c>
      <c r="K40" s="44" t="str">
        <f t="shared" si="1"/>
        <v>p</v>
      </c>
      <c r="L40" s="27">
        <f>GETPIVOTDATA("Value",[1]Population!$B$4,"Organisation_code",$D40,"Periods","T1")</f>
        <v>10020</v>
      </c>
      <c r="M40" s="27">
        <f>GETPIVOTDATA("Value",[1]Population!$B$4,"Organisation_code",$D40,"Periods","T2")</f>
        <v>9523</v>
      </c>
      <c r="N40" s="28"/>
      <c r="O40" s="28"/>
    </row>
    <row r="41" spans="2:15" ht="16.5" x14ac:dyDescent="0.3">
      <c r="B41" s="34"/>
      <c r="C41" s="30" t="s">
        <v>70</v>
      </c>
      <c r="D41" s="30" t="s">
        <v>71</v>
      </c>
      <c r="E41" s="30">
        <f>IFERROR(IF($L$7="all",GETPIVOTDATA("ACTION_CD",'[1]A&amp;G Back'!$B$6,"REFERRING_ORG_ID",$D41,"Period",E$11),GETPIVOTDATA("ACTION_CD",'[1]A&amp;G Back'!$B$6,"REFERRING_ORG_ID",$D41,"Period",E$11,"Provider group",$L$7)),"")</f>
        <v>91</v>
      </c>
      <c r="F41" s="30">
        <f>IFERROR(IF($L$7="all",GETPIVOTDATA("ACTION_CD",'[1]A&amp;G Back'!$B$6,"REFERRING_ORG_ID",$D41,"Period",F$11),GETPIVOTDATA("ACTION_CD",'[1]A&amp;G Back'!$B$6,"REFERRING_ORG_ID",$D41,"Period",F$11,"Provider group",$L$7)),"")</f>
        <v>89</v>
      </c>
      <c r="G41" s="31">
        <f t="shared" si="9"/>
        <v>-2.1978021978022011E-2</v>
      </c>
      <c r="H41" s="45"/>
      <c r="I41" s="30">
        <f t="shared" si="10"/>
        <v>8.6999999999999993</v>
      </c>
      <c r="J41" s="30">
        <f t="shared" si="10"/>
        <v>8.9</v>
      </c>
      <c r="K41" s="47" t="str">
        <f t="shared" si="1"/>
        <v>p</v>
      </c>
      <c r="L41" s="27">
        <f>GETPIVOTDATA("Value",[1]Population!$B$4,"Organisation_code",$D41,"Periods","T1")</f>
        <v>10431</v>
      </c>
      <c r="M41" s="27">
        <f>GETPIVOTDATA("Value",[1]Population!$B$4,"Organisation_code",$D41,"Periods","T2")</f>
        <v>10033</v>
      </c>
      <c r="N41" s="28"/>
      <c r="O41" s="28"/>
    </row>
    <row r="42" spans="2:15" ht="16.5" x14ac:dyDescent="0.3">
      <c r="B42" s="34"/>
      <c r="C42" s="30" t="s">
        <v>72</v>
      </c>
      <c r="D42" s="30" t="s">
        <v>73</v>
      </c>
      <c r="E42" s="30">
        <f>IFERROR(IF($L$7="all",GETPIVOTDATA("ACTION_CD",'[1]A&amp;G Back'!$B$6,"REFERRING_ORG_ID",$D42,"Period",E$11),GETPIVOTDATA("ACTION_CD",'[1]A&amp;G Back'!$B$6,"REFERRING_ORG_ID",$D42,"Period",E$11,"Provider group",$L$7)),"")</f>
        <v>86</v>
      </c>
      <c r="F42" s="30">
        <f>IFERROR(IF($L$7="all",GETPIVOTDATA("ACTION_CD",'[1]A&amp;G Back'!$B$6,"REFERRING_ORG_ID",$D42,"Period",F$11),GETPIVOTDATA("ACTION_CD",'[1]A&amp;G Back'!$B$6,"REFERRING_ORG_ID",$D42,"Period",F$11,"Provider group",$L$7)),"")</f>
        <v>55</v>
      </c>
      <c r="G42" s="31">
        <f t="shared" si="9"/>
        <v>-0.36046511627906974</v>
      </c>
      <c r="H42" s="45"/>
      <c r="I42" s="30">
        <f t="shared" si="10"/>
        <v>10.6</v>
      </c>
      <c r="J42" s="30">
        <f t="shared" si="10"/>
        <v>6.2</v>
      </c>
      <c r="K42" s="35" t="str">
        <f t="shared" si="1"/>
        <v>q</v>
      </c>
      <c r="L42" s="27">
        <f>GETPIVOTDATA("Value",[1]Population!$B$4,"Organisation_code",$D42,"Periods","T1")</f>
        <v>8102</v>
      </c>
      <c r="M42" s="27">
        <f>GETPIVOTDATA("Value",[1]Population!$B$4,"Organisation_code",$D42,"Periods","T2")</f>
        <v>8860</v>
      </c>
      <c r="N42" s="28"/>
      <c r="O42" s="28"/>
    </row>
    <row r="43" spans="2:15" ht="16.5" x14ac:dyDescent="0.3">
      <c r="B43" s="34"/>
      <c r="C43" s="30" t="s">
        <v>74</v>
      </c>
      <c r="D43" s="30" t="s">
        <v>75</v>
      </c>
      <c r="E43" s="30">
        <f>IFERROR(IF($L$7="all",GETPIVOTDATA("ACTION_CD",'[1]A&amp;G Back'!$B$6,"REFERRING_ORG_ID",$D43,"Period",E$11),GETPIVOTDATA("ACTION_CD",'[1]A&amp;G Back'!$B$6,"REFERRING_ORG_ID",$D43,"Period",E$11,"Provider group",$L$7)),"")</f>
        <v>127</v>
      </c>
      <c r="F43" s="30">
        <f>IFERROR(IF($L$7="all",GETPIVOTDATA("ACTION_CD",'[1]A&amp;G Back'!$B$6,"REFERRING_ORG_ID",$D43,"Period",F$11),GETPIVOTDATA("ACTION_CD",'[1]A&amp;G Back'!$B$6,"REFERRING_ORG_ID",$D43,"Period",F$11,"Provider group",$L$7)),"")</f>
        <v>113</v>
      </c>
      <c r="G43" s="31">
        <f t="shared" si="9"/>
        <v>-0.11023622047244097</v>
      </c>
      <c r="H43" s="45"/>
      <c r="I43" s="30">
        <f t="shared" si="10"/>
        <v>7.6</v>
      </c>
      <c r="J43" s="30">
        <f t="shared" si="10"/>
        <v>6.7</v>
      </c>
      <c r="K43" s="35" t="str">
        <f t="shared" si="1"/>
        <v>q</v>
      </c>
      <c r="L43" s="27">
        <f>GETPIVOTDATA("Value",[1]Population!$B$4,"Organisation_code",$D43,"Periods","T1")</f>
        <v>16667</v>
      </c>
      <c r="M43" s="27">
        <f>GETPIVOTDATA("Value",[1]Population!$B$4,"Organisation_code",$D43,"Periods","T2")</f>
        <v>16972</v>
      </c>
      <c r="N43" s="28"/>
      <c r="O43" s="28"/>
    </row>
    <row r="44" spans="2:15" ht="16.5" x14ac:dyDescent="0.3">
      <c r="B44" s="34"/>
      <c r="C44" s="30" t="s">
        <v>76</v>
      </c>
      <c r="D44" s="30" t="s">
        <v>77</v>
      </c>
      <c r="E44" s="30">
        <f>IFERROR(IF($L$7="all",GETPIVOTDATA("ACTION_CD",'[1]A&amp;G Back'!$B$6,"REFERRING_ORG_ID",$D44,"Period",E$11),GETPIVOTDATA("ACTION_CD",'[1]A&amp;G Back'!$B$6,"REFERRING_ORG_ID",$D44,"Period",E$11,"Provider group",$L$7)),"")</f>
        <v>53</v>
      </c>
      <c r="F44" s="30">
        <f>IFERROR(IF($L$7="all",GETPIVOTDATA("ACTION_CD",'[1]A&amp;G Back'!$B$6,"REFERRING_ORG_ID",$D44,"Period",F$11),GETPIVOTDATA("ACTION_CD",'[1]A&amp;G Back'!$B$6,"REFERRING_ORG_ID",$D44,"Period",F$11,"Provider group",$L$7)),"")</f>
        <v>66</v>
      </c>
      <c r="G44" s="31">
        <f t="shared" si="9"/>
        <v>0.24528301886792447</v>
      </c>
      <c r="H44" s="32"/>
      <c r="I44" s="30">
        <f t="shared" si="10"/>
        <v>6.3</v>
      </c>
      <c r="J44" s="30">
        <f t="shared" si="10"/>
        <v>7.8</v>
      </c>
      <c r="K44" s="33" t="str">
        <f t="shared" si="1"/>
        <v>p</v>
      </c>
      <c r="L44" s="27">
        <f>GETPIVOTDATA("Value",[1]Population!$B$4,"Organisation_code",$D44,"Periods","T1")</f>
        <v>8409</v>
      </c>
      <c r="M44" s="27">
        <f>GETPIVOTDATA("Value",[1]Population!$B$4,"Organisation_code",$D44,"Periods","T2")</f>
        <v>8484</v>
      </c>
      <c r="N44" s="28"/>
      <c r="O44" s="28"/>
    </row>
    <row r="45" spans="2:15" ht="16.5" x14ac:dyDescent="0.3">
      <c r="B45" s="34"/>
      <c r="C45" s="30" t="s">
        <v>78</v>
      </c>
      <c r="D45" s="30" t="s">
        <v>79</v>
      </c>
      <c r="E45" s="30">
        <f>IFERROR(IF($L$7="all",GETPIVOTDATA("ACTION_CD",'[1]A&amp;G Back'!$B$6,"REFERRING_ORG_ID",$D45,"Period",E$11),GETPIVOTDATA("ACTION_CD",'[1]A&amp;G Back'!$B$6,"REFERRING_ORG_ID",$D45,"Period",E$11,"Provider group",$L$7)),"")</f>
        <v>372</v>
      </c>
      <c r="F45" s="30">
        <f>IFERROR(IF($L$7="all",GETPIVOTDATA("ACTION_CD",'[1]A&amp;G Back'!$B$6,"REFERRING_ORG_ID",$D45,"Period",F$11),GETPIVOTDATA("ACTION_CD",'[1]A&amp;G Back'!$B$6,"REFERRING_ORG_ID",$D45,"Period",F$11,"Provider group",$L$7)),"")</f>
        <v>305</v>
      </c>
      <c r="G45" s="31">
        <f t="shared" si="9"/>
        <v>-0.18010752688172038</v>
      </c>
      <c r="H45" s="32"/>
      <c r="I45" s="30">
        <f t="shared" si="10"/>
        <v>25</v>
      </c>
      <c r="J45" s="30">
        <f t="shared" si="10"/>
        <v>20.100000000000001</v>
      </c>
      <c r="K45" s="35" t="str">
        <f t="shared" si="1"/>
        <v>q</v>
      </c>
      <c r="L45" s="27">
        <f>GETPIVOTDATA("Value",[1]Population!$B$4,"Organisation_code",$D45,"Periods","T1")</f>
        <v>14894</v>
      </c>
      <c r="M45" s="27">
        <f>GETPIVOTDATA("Value",[1]Population!$B$4,"Organisation_code",$D45,"Periods","T2")</f>
        <v>15145</v>
      </c>
      <c r="N45" s="28"/>
      <c r="O45" s="28"/>
    </row>
    <row r="46" spans="2:15" ht="16.5" x14ac:dyDescent="0.3">
      <c r="B46" s="36"/>
      <c r="C46" s="37" t="s">
        <v>63</v>
      </c>
      <c r="D46" s="38"/>
      <c r="E46" s="39">
        <f>SUM(E38:E45)</f>
        <v>1115</v>
      </c>
      <c r="F46" s="39">
        <f>SUM(F38:F45)</f>
        <v>996</v>
      </c>
      <c r="G46" s="40">
        <f t="shared" si="2"/>
        <v>-0.10672645739910314</v>
      </c>
      <c r="H46" s="41"/>
      <c r="I46" s="42">
        <f t="shared" si="3"/>
        <v>11.6</v>
      </c>
      <c r="J46" s="42">
        <f t="shared" si="3"/>
        <v>10.199999999999999</v>
      </c>
      <c r="K46" s="43" t="str">
        <f t="shared" si="1"/>
        <v>q</v>
      </c>
      <c r="L46" s="27">
        <f>SUM(L38:L45)</f>
        <v>96001</v>
      </c>
      <c r="M46" s="27">
        <f>SUM(M38:M45)</f>
        <v>97239</v>
      </c>
      <c r="N46" s="28"/>
      <c r="O46" s="28"/>
    </row>
    <row r="47" spans="2:15" ht="16.5" x14ac:dyDescent="0.3">
      <c r="B47" s="29" t="s">
        <v>80</v>
      </c>
      <c r="C47" s="30" t="s">
        <v>81</v>
      </c>
      <c r="D47" s="30" t="s">
        <v>82</v>
      </c>
      <c r="E47" s="30">
        <f>IFERROR(IF($L$7="all",GETPIVOTDATA("ACTION_CD",'[1]A&amp;G Back'!$B$6,"REFERRING_ORG_ID",$D47,"Period",E$11),GETPIVOTDATA("ACTION_CD",'[1]A&amp;G Back'!$B$6,"REFERRING_ORG_ID",$D47,"Period",E$11,"Provider group",$L$7)),"")</f>
        <v>230</v>
      </c>
      <c r="F47" s="30">
        <f>IFERROR(IF($L$7="all",GETPIVOTDATA("ACTION_CD",'[1]A&amp;G Back'!$B$6,"REFERRING_ORG_ID",$D47,"Period",F$11),GETPIVOTDATA("ACTION_CD",'[1]A&amp;G Back'!$B$6,"REFERRING_ORG_ID",$D47,"Period",F$11,"Provider group",$L$7)),"")</f>
        <v>200</v>
      </c>
      <c r="G47" s="31">
        <f>IFERROR(F47/E47-1,"")</f>
        <v>-0.13043478260869568</v>
      </c>
      <c r="H47" s="32"/>
      <c r="I47" s="30">
        <f t="shared" ref="I47:J51" si="11">IFERROR(ROUND(E47/L47*1000,1),"")</f>
        <v>16.399999999999999</v>
      </c>
      <c r="J47" s="30">
        <f t="shared" si="11"/>
        <v>14.2</v>
      </c>
      <c r="K47" s="44" t="str">
        <f t="shared" si="1"/>
        <v>q</v>
      </c>
      <c r="L47" s="27">
        <f>GETPIVOTDATA("Value",[1]Population!$B$4,"Organisation_code",$D47,"Periods","T1")</f>
        <v>13997</v>
      </c>
      <c r="M47" s="27">
        <f>GETPIVOTDATA("Value",[1]Population!$B$4,"Organisation_code",$D47,"Periods","T2")</f>
        <v>14066</v>
      </c>
      <c r="N47" s="28"/>
      <c r="O47" s="28"/>
    </row>
    <row r="48" spans="2:15" ht="16.5" x14ac:dyDescent="0.3">
      <c r="B48" s="34"/>
      <c r="C48" s="30" t="s">
        <v>83</v>
      </c>
      <c r="D48" s="30" t="s">
        <v>84</v>
      </c>
      <c r="E48" s="30">
        <f>IFERROR(IF($L$7="all",GETPIVOTDATA("ACTION_CD",'[1]A&amp;G Back'!$B$6,"REFERRING_ORG_ID",$D48,"Period",E$11),GETPIVOTDATA("ACTION_CD",'[1]A&amp;G Back'!$B$6,"REFERRING_ORG_ID",$D48,"Period",E$11,"Provider group",$L$7)),"")</f>
        <v>135</v>
      </c>
      <c r="F48" s="30">
        <f>IFERROR(IF($L$7="all",GETPIVOTDATA("ACTION_CD",'[1]A&amp;G Back'!$B$6,"REFERRING_ORG_ID",$D48,"Period",F$11),GETPIVOTDATA("ACTION_CD",'[1]A&amp;G Back'!$B$6,"REFERRING_ORG_ID",$D48,"Period",F$11,"Provider group",$L$7)),"")</f>
        <v>149</v>
      </c>
      <c r="G48" s="31">
        <f>IFERROR(F48/E48-1,"")</f>
        <v>0.10370370370370363</v>
      </c>
      <c r="H48" s="45"/>
      <c r="I48" s="30">
        <f t="shared" si="11"/>
        <v>18.2</v>
      </c>
      <c r="J48" s="30">
        <f t="shared" si="11"/>
        <v>20.3</v>
      </c>
      <c r="K48" s="47" t="str">
        <f t="shared" si="1"/>
        <v>p</v>
      </c>
      <c r="L48" s="27">
        <f>GETPIVOTDATA("Value",[1]Population!$B$4,"Organisation_code",$D48,"Periods","T1")</f>
        <v>7428</v>
      </c>
      <c r="M48" s="27">
        <f>GETPIVOTDATA("Value",[1]Population!$B$4,"Organisation_code",$D48,"Periods","T2")</f>
        <v>7348</v>
      </c>
      <c r="N48" s="28"/>
      <c r="O48" s="28"/>
    </row>
    <row r="49" spans="1:15" ht="16.5" x14ac:dyDescent="0.3">
      <c r="B49" s="34"/>
      <c r="C49" s="30" t="s">
        <v>85</v>
      </c>
      <c r="D49" s="30" t="s">
        <v>86</v>
      </c>
      <c r="E49" s="30">
        <f>IFERROR(IF($L$7="all",GETPIVOTDATA("ACTION_CD",'[1]A&amp;G Back'!$B$6,"REFERRING_ORG_ID",$D49,"Period",E$11),GETPIVOTDATA("ACTION_CD",'[1]A&amp;G Back'!$B$6,"REFERRING_ORG_ID",$D49,"Period",E$11,"Provider group",$L$7)),"")</f>
        <v>82</v>
      </c>
      <c r="F49" s="30">
        <f>IFERROR(IF($L$7="all",GETPIVOTDATA("ACTION_CD",'[1]A&amp;G Back'!$B$6,"REFERRING_ORG_ID",$D49,"Period",F$11),GETPIVOTDATA("ACTION_CD",'[1]A&amp;G Back'!$B$6,"REFERRING_ORG_ID",$D49,"Period",F$11,"Provider group",$L$7)),"")</f>
        <v>97</v>
      </c>
      <c r="G49" s="31">
        <f>IFERROR(F49/E49-1,"")</f>
        <v>0.18292682926829262</v>
      </c>
      <c r="H49" s="45"/>
      <c r="I49" s="30">
        <f t="shared" si="11"/>
        <v>10.8</v>
      </c>
      <c r="J49" s="30">
        <f t="shared" si="11"/>
        <v>12.6</v>
      </c>
      <c r="K49" s="35" t="str">
        <f t="shared" si="1"/>
        <v>p</v>
      </c>
      <c r="L49" s="27">
        <f>GETPIVOTDATA("Value",[1]Population!$B$4,"Organisation_code",$D49,"Periods","T1")</f>
        <v>7624</v>
      </c>
      <c r="M49" s="27">
        <f>GETPIVOTDATA("Value",[1]Population!$B$4,"Organisation_code",$D49,"Periods","T2")</f>
        <v>7726</v>
      </c>
      <c r="N49" s="28"/>
      <c r="O49" s="28"/>
    </row>
    <row r="50" spans="1:15" ht="16.5" x14ac:dyDescent="0.3">
      <c r="B50" s="34"/>
      <c r="C50" s="30" t="s">
        <v>87</v>
      </c>
      <c r="D50" s="30" t="s">
        <v>88</v>
      </c>
      <c r="E50" s="30">
        <f>IFERROR(IF($L$7="all",GETPIVOTDATA("ACTION_CD",'[1]A&amp;G Back'!$B$6,"REFERRING_ORG_ID",$D50,"Period",E$11),GETPIVOTDATA("ACTION_CD",'[1]A&amp;G Back'!$B$6,"REFERRING_ORG_ID",$D50,"Period",E$11,"Provider group",$L$7)),"")</f>
        <v>5</v>
      </c>
      <c r="F50" s="30">
        <f>IFERROR(IF($L$7="all",GETPIVOTDATA("ACTION_CD",'[1]A&amp;G Back'!$B$6,"REFERRING_ORG_ID",$D50,"Period",F$11),GETPIVOTDATA("ACTION_CD",'[1]A&amp;G Back'!$B$6,"REFERRING_ORG_ID",$D50,"Period",F$11,"Provider group",$L$7)),"")</f>
        <v>5</v>
      </c>
      <c r="G50" s="31">
        <f>IFERROR(F50/E50-1,"")</f>
        <v>0</v>
      </c>
      <c r="H50" s="32"/>
      <c r="I50" s="30">
        <f t="shared" si="11"/>
        <v>3.8</v>
      </c>
      <c r="J50" s="30">
        <f t="shared" si="11"/>
        <v>3.8</v>
      </c>
      <c r="K50" s="33" t="str">
        <f t="shared" si="1"/>
        <v>I</v>
      </c>
      <c r="L50" s="27">
        <f>GETPIVOTDATA("Value",[1]Population!$B$4,"Organisation_code",$D50,"Periods","T1")</f>
        <v>1300</v>
      </c>
      <c r="M50" s="27">
        <f>GETPIVOTDATA("Value",[1]Population!$B$4,"Organisation_code",$D50,"Periods","T2")</f>
        <v>1319</v>
      </c>
      <c r="N50" s="28"/>
      <c r="O50" s="28"/>
    </row>
    <row r="51" spans="1:15" ht="16.5" x14ac:dyDescent="0.3">
      <c r="B51" s="34"/>
      <c r="C51" s="30" t="s">
        <v>89</v>
      </c>
      <c r="D51" s="30" t="s">
        <v>90</v>
      </c>
      <c r="E51" s="30">
        <f>IFERROR(IF($L$7="all",GETPIVOTDATA("ACTION_CD",'[1]A&amp;G Back'!$B$6,"REFERRING_ORG_ID",$D51,"Period",E$11),GETPIVOTDATA("ACTION_CD",'[1]A&amp;G Back'!$B$6,"REFERRING_ORG_ID",$D51,"Period",E$11,"Provider group",$L$7)),"")</f>
        <v>61</v>
      </c>
      <c r="F51" s="30">
        <f>IFERROR(IF($L$7="all",GETPIVOTDATA("ACTION_CD",'[1]A&amp;G Back'!$B$6,"REFERRING_ORG_ID",$D51,"Period",F$11),GETPIVOTDATA("ACTION_CD",'[1]A&amp;G Back'!$B$6,"REFERRING_ORG_ID",$D51,"Period",F$11,"Provider group",$L$7)),"")</f>
        <v>40</v>
      </c>
      <c r="G51" s="31">
        <f>IFERROR(F51/E51-1,"")</f>
        <v>-0.34426229508196726</v>
      </c>
      <c r="H51" s="32"/>
      <c r="I51" s="30">
        <f t="shared" si="11"/>
        <v>7.9</v>
      </c>
      <c r="J51" s="30">
        <f t="shared" si="11"/>
        <v>5.0999999999999996</v>
      </c>
      <c r="K51" s="35" t="str">
        <f t="shared" si="1"/>
        <v>q</v>
      </c>
      <c r="L51" s="27">
        <f>GETPIVOTDATA("Value",[1]Population!$B$4,"Organisation_code",$D51,"Periods","T1")</f>
        <v>7747</v>
      </c>
      <c r="M51" s="27">
        <f>GETPIVOTDATA("Value",[1]Population!$B$4,"Organisation_code",$D51,"Periods","T2")</f>
        <v>7851</v>
      </c>
      <c r="N51" s="28"/>
      <c r="O51" s="28"/>
    </row>
    <row r="52" spans="1:15" ht="16.5" x14ac:dyDescent="0.3">
      <c r="B52" s="36"/>
      <c r="C52" s="37" t="s">
        <v>80</v>
      </c>
      <c r="D52" s="38"/>
      <c r="E52" s="39">
        <f>SUM(E47:E51)</f>
        <v>513</v>
      </c>
      <c r="F52" s="39">
        <f>SUM(F47:F51)</f>
        <v>491</v>
      </c>
      <c r="G52" s="40">
        <f t="shared" si="2"/>
        <v>-4.2884990253411304E-2</v>
      </c>
      <c r="H52" s="41"/>
      <c r="I52" s="42">
        <f t="shared" si="3"/>
        <v>13.5</v>
      </c>
      <c r="J52" s="42">
        <f t="shared" si="3"/>
        <v>12.8</v>
      </c>
      <c r="K52" s="43" t="str">
        <f t="shared" si="1"/>
        <v>q</v>
      </c>
      <c r="L52" s="27">
        <f>SUM(L47:L51)</f>
        <v>38096</v>
      </c>
      <c r="M52" s="27">
        <f>SUM(M47:M51)</f>
        <v>38310</v>
      </c>
      <c r="N52" s="28"/>
      <c r="O52" s="28"/>
    </row>
    <row r="53" spans="1:15" ht="16.5" x14ac:dyDescent="0.3">
      <c r="B53" s="29" t="s">
        <v>91</v>
      </c>
      <c r="C53" s="30" t="s">
        <v>92</v>
      </c>
      <c r="D53" s="30" t="s">
        <v>93</v>
      </c>
      <c r="E53" s="30">
        <f>IFERROR(IF($L$7="all",GETPIVOTDATA("ACTION_CD",'[1]A&amp;G Back'!$B$6,"REFERRING_ORG_ID",$D53,"Period",E$11),GETPIVOTDATA("ACTION_CD",'[1]A&amp;G Back'!$B$6,"REFERRING_ORG_ID",$D53,"Period",E$11,"Provider group",$L$7)),"")</f>
        <v>89</v>
      </c>
      <c r="F53" s="30">
        <f>IFERROR(IF($L$7="all",GETPIVOTDATA("ACTION_CD",'[1]A&amp;G Back'!$B$6,"REFERRING_ORG_ID",$D53,"Period",F$11),GETPIVOTDATA("ACTION_CD",'[1]A&amp;G Back'!$B$6,"REFERRING_ORG_ID",$D53,"Period",F$11,"Provider group",$L$7)),"")</f>
        <v>124</v>
      </c>
      <c r="G53" s="31">
        <f>IFERROR(F53/E53-1,"")</f>
        <v>0.39325842696629221</v>
      </c>
      <c r="H53" s="32"/>
      <c r="I53" s="30">
        <f t="shared" ref="I53:J56" si="12">IFERROR(ROUND(E53/L53*1000,1),"")</f>
        <v>11.7</v>
      </c>
      <c r="J53" s="30">
        <f t="shared" si="12"/>
        <v>15.9</v>
      </c>
      <c r="K53" s="35" t="str">
        <f t="shared" si="1"/>
        <v>p</v>
      </c>
      <c r="L53" s="27">
        <f>GETPIVOTDATA("Value",[1]Population!$B$4,"Organisation_code",$D53,"Periods","T1")</f>
        <v>7622</v>
      </c>
      <c r="M53" s="27">
        <f>GETPIVOTDATA("Value",[1]Population!$B$4,"Organisation_code",$D53,"Periods","T2")</f>
        <v>7791</v>
      </c>
      <c r="N53" s="28"/>
      <c r="O53" s="28"/>
    </row>
    <row r="54" spans="1:15" ht="16.5" x14ac:dyDescent="0.3">
      <c r="B54" s="34"/>
      <c r="C54" s="30" t="s">
        <v>94</v>
      </c>
      <c r="D54" s="30" t="s">
        <v>95</v>
      </c>
      <c r="E54" s="30">
        <f>IFERROR(IF($L$7="all",GETPIVOTDATA("ACTION_CD",'[1]A&amp;G Back'!$B$6,"REFERRING_ORG_ID",$D54,"Period",E$11),GETPIVOTDATA("ACTION_CD",'[1]A&amp;G Back'!$B$6,"REFERRING_ORG_ID",$D54,"Period",E$11,"Provider group",$L$7)),"")</f>
        <v>126</v>
      </c>
      <c r="F54" s="30">
        <f>IFERROR(IF($L$7="all",GETPIVOTDATA("ACTION_CD",'[1]A&amp;G Back'!$B$6,"REFERRING_ORG_ID",$D54,"Period",F$11),GETPIVOTDATA("ACTION_CD",'[1]A&amp;G Back'!$B$6,"REFERRING_ORG_ID",$D54,"Period",F$11,"Provider group",$L$7)),"")</f>
        <v>99</v>
      </c>
      <c r="G54" s="31">
        <f t="shared" ref="G54:G56" si="13">IFERROR(F54/E54-1,"")</f>
        <v>-0.2142857142857143</v>
      </c>
      <c r="H54" s="32"/>
      <c r="I54" s="30">
        <f t="shared" si="12"/>
        <v>14.8</v>
      </c>
      <c r="J54" s="30">
        <f t="shared" si="12"/>
        <v>11.7</v>
      </c>
      <c r="K54" s="35" t="str">
        <f t="shared" si="1"/>
        <v>q</v>
      </c>
      <c r="L54" s="27">
        <f>GETPIVOTDATA("Value",[1]Population!$B$4,"Organisation_code",$D54,"Periods","T1")</f>
        <v>8492</v>
      </c>
      <c r="M54" s="27">
        <f>GETPIVOTDATA("Value",[1]Population!$B$4,"Organisation_code",$D54,"Periods","T2")</f>
        <v>8444</v>
      </c>
      <c r="N54" s="28"/>
      <c r="O54" s="28"/>
    </row>
    <row r="55" spans="1:15" ht="16.5" x14ac:dyDescent="0.3">
      <c r="B55" s="34"/>
      <c r="C55" s="30" t="s">
        <v>96</v>
      </c>
      <c r="D55" s="30" t="s">
        <v>97</v>
      </c>
      <c r="E55" s="30">
        <f>IFERROR(IF($L$7="all",GETPIVOTDATA("ACTION_CD",'[1]A&amp;G Back'!$B$6,"REFERRING_ORG_ID",$D55,"Period",E$11),GETPIVOTDATA("ACTION_CD",'[1]A&amp;G Back'!$B$6,"REFERRING_ORG_ID",$D55,"Period",E$11,"Provider group",$L$7)),"")</f>
        <v>269</v>
      </c>
      <c r="F55" s="30">
        <f>IFERROR(IF($L$7="all",GETPIVOTDATA("ACTION_CD",'[1]A&amp;G Back'!$B$6,"REFERRING_ORG_ID",$D55,"Period",F$11),GETPIVOTDATA("ACTION_CD",'[1]A&amp;G Back'!$B$6,"REFERRING_ORG_ID",$D55,"Period",F$11,"Provider group",$L$7)),"")</f>
        <v>195</v>
      </c>
      <c r="G55" s="31">
        <f t="shared" si="13"/>
        <v>-0.27509293680297398</v>
      </c>
      <c r="H55" s="32"/>
      <c r="I55" s="30">
        <f t="shared" si="12"/>
        <v>21.5</v>
      </c>
      <c r="J55" s="30">
        <f t="shared" si="12"/>
        <v>15.7</v>
      </c>
      <c r="K55" s="44" t="str">
        <f t="shared" si="1"/>
        <v>q</v>
      </c>
      <c r="L55" s="27">
        <f>GETPIVOTDATA("Value",[1]Population!$B$4,"Organisation_code",$D55,"Periods","T1")</f>
        <v>12521</v>
      </c>
      <c r="M55" s="27">
        <f>GETPIVOTDATA("Value",[1]Population!$B$4,"Organisation_code",$D55,"Periods","T2")</f>
        <v>12460</v>
      </c>
      <c r="N55" s="28"/>
      <c r="O55" s="28"/>
    </row>
    <row r="56" spans="1:15" ht="16.5" x14ac:dyDescent="0.3">
      <c r="B56" s="34"/>
      <c r="C56" s="30" t="s">
        <v>98</v>
      </c>
      <c r="D56" s="30" t="s">
        <v>99</v>
      </c>
      <c r="E56" s="30">
        <f>IFERROR(IF($L$7="all",GETPIVOTDATA("ACTION_CD",'[1]A&amp;G Back'!$B$6,"REFERRING_ORG_ID",$D56,"Period",E$11),GETPIVOTDATA("ACTION_CD",'[1]A&amp;G Back'!$B$6,"REFERRING_ORG_ID",$D56,"Period",E$11,"Provider group",$L$7)),"")</f>
        <v>59</v>
      </c>
      <c r="F56" s="30">
        <f>IFERROR(IF($L$7="all",GETPIVOTDATA("ACTION_CD",'[1]A&amp;G Back'!$B$6,"REFERRING_ORG_ID",$D56,"Period",F$11),GETPIVOTDATA("ACTION_CD",'[1]A&amp;G Back'!$B$6,"REFERRING_ORG_ID",$D56,"Period",F$11,"Provider group",$L$7)),"")</f>
        <v>42</v>
      </c>
      <c r="G56" s="31">
        <f t="shared" si="13"/>
        <v>-0.28813559322033899</v>
      </c>
      <c r="H56" s="45">
        <f t="shared" ref="H56" si="14">SUM(H49:H55)</f>
        <v>0</v>
      </c>
      <c r="I56" s="30">
        <f t="shared" si="12"/>
        <v>10.1</v>
      </c>
      <c r="J56" s="30">
        <f t="shared" si="12"/>
        <v>7.1</v>
      </c>
      <c r="K56" s="35" t="str">
        <f t="shared" si="1"/>
        <v>q</v>
      </c>
      <c r="L56" s="27">
        <f>GETPIVOTDATA("Value",[1]Population!$B$4,"Organisation_code",$D56,"Periods","T1")</f>
        <v>5843</v>
      </c>
      <c r="M56" s="27">
        <f>GETPIVOTDATA("Value",[1]Population!$B$4,"Organisation_code",$D56,"Periods","T2")</f>
        <v>5929</v>
      </c>
      <c r="N56" s="28"/>
      <c r="O56" s="28"/>
    </row>
    <row r="57" spans="1:15" ht="16.5" x14ac:dyDescent="0.3">
      <c r="B57" s="36"/>
      <c r="C57" s="37" t="s">
        <v>91</v>
      </c>
      <c r="D57" s="38"/>
      <c r="E57" s="48">
        <f>SUM(E53:E56)</f>
        <v>543</v>
      </c>
      <c r="F57" s="48">
        <f>SUM(F53:F56)</f>
        <v>460</v>
      </c>
      <c r="G57" s="49">
        <f>F57/E57-1</f>
        <v>-0.15285451197053412</v>
      </c>
      <c r="H57" s="50"/>
      <c r="I57" s="42">
        <f t="shared" si="3"/>
        <v>15.7</v>
      </c>
      <c r="J57" s="42">
        <f t="shared" si="3"/>
        <v>13.3</v>
      </c>
      <c r="K57" s="43" t="str">
        <f t="shared" si="1"/>
        <v>q</v>
      </c>
      <c r="L57" s="27">
        <f>SUM(L53:L56)</f>
        <v>34478</v>
      </c>
      <c r="M57" s="27">
        <f>SUM(M53:M56)</f>
        <v>34624</v>
      </c>
      <c r="N57" s="28"/>
      <c r="O57" s="28"/>
    </row>
    <row r="58" spans="1:15" ht="16.5" x14ac:dyDescent="0.3">
      <c r="B58" s="51" t="s">
        <v>100</v>
      </c>
      <c r="C58" s="52"/>
      <c r="D58" s="52"/>
      <c r="E58" s="53">
        <f>E57+E52+E46+E37+E30+E24+E16</f>
        <v>4497</v>
      </c>
      <c r="F58" s="53">
        <f>F57+F52+F46+F37+F30+F24+F16</f>
        <v>4282</v>
      </c>
      <c r="G58" s="54">
        <f>F58/E58-1</f>
        <v>-4.7809650878363308E-2</v>
      </c>
      <c r="H58" s="55"/>
      <c r="I58" s="56">
        <f t="shared" ref="I58:J58" si="15">ROUND(E58/L58*1000,1)</f>
        <v>13.3</v>
      </c>
      <c r="J58" s="56">
        <f t="shared" si="15"/>
        <v>12.6</v>
      </c>
      <c r="K58" s="57" t="str">
        <f>IF(J58&gt;I58,"p",IF(I58=J58,"I","q"))</f>
        <v>q</v>
      </c>
      <c r="L58" s="27">
        <f>L57+L52+L46+L37+L30+L24+L16</f>
        <v>337170</v>
      </c>
      <c r="M58" s="27">
        <f>M57+M52+M46+M37+M30+M24+M16</f>
        <v>340029</v>
      </c>
    </row>
    <row r="59" spans="1:15" s="27" customFormat="1" x14ac:dyDescent="0.2"/>
    <row r="60" spans="1:15" s="27" customFormat="1" x14ac:dyDescent="0.2">
      <c r="C60" s="27" t="s">
        <v>2</v>
      </c>
      <c r="E60" s="27" t="s">
        <v>4</v>
      </c>
      <c r="J60" s="27" t="s">
        <v>2</v>
      </c>
      <c r="K60" s="27" t="s">
        <v>4</v>
      </c>
    </row>
    <row r="61" spans="1:15" s="27" customFormat="1" x14ac:dyDescent="0.2">
      <c r="A61" s="27">
        <f>RANK(E61,$E$61:$E$99,0)+COUNTIF($E$61:E61,E61)-1</f>
        <v>8</v>
      </c>
      <c r="B61" s="27" t="s">
        <v>16</v>
      </c>
      <c r="C61" s="27">
        <f>VLOOKUP($B61,$C$11:$M$56,7,0)</f>
        <v>16.600000000000001</v>
      </c>
      <c r="D61" s="27">
        <f>VLOOKUP($B61,$C$11:$M$56,11,0)</f>
        <v>12209</v>
      </c>
      <c r="E61" s="27">
        <f>VLOOKUP($B61,$C$11:$M$56,8,0)</f>
        <v>15.7</v>
      </c>
      <c r="G61" s="58">
        <f>RANK(K61,$K$61:$K$67,0)+COUNTIF($K$61:K61,K61)-1</f>
        <v>1</v>
      </c>
      <c r="I61" s="27" t="str">
        <f>B12</f>
        <v>Clissold Park PCN</v>
      </c>
      <c r="J61" s="59">
        <f>VLOOKUP(I61,$C$12:$J$58,7,0)</f>
        <v>14.3</v>
      </c>
      <c r="K61" s="59">
        <f>VLOOKUP(I61,$C$12:$J$58,8,0)</f>
        <v>15.3</v>
      </c>
    </row>
    <row r="62" spans="1:15" s="27" customFormat="1" x14ac:dyDescent="0.2">
      <c r="A62" s="27">
        <f>RANK(E62,$E$61:$E$99,0)+COUNTIF($E$61:E62,E62)-1</f>
        <v>3</v>
      </c>
      <c r="B62" s="27" t="s">
        <v>18</v>
      </c>
      <c r="C62" s="27">
        <f t="shared" ref="C62:C98" si="16">VLOOKUP($B62,$C$11:$M$56,7,0)</f>
        <v>17.600000000000001</v>
      </c>
      <c r="D62" s="27">
        <f t="shared" ref="D62:D99" si="17">VLOOKUP($B62,$C$11:$M$56,11,0)</f>
        <v>11898</v>
      </c>
      <c r="E62" s="27">
        <f t="shared" ref="E62:E99" si="18">VLOOKUP($B62,$C$11:$M$56,8,0)</f>
        <v>21.3</v>
      </c>
      <c r="G62" s="58">
        <f>RANK(K62,$K$61:$K$67,0)+COUNTIF($K$61:K62,K62)-1</f>
        <v>6</v>
      </c>
      <c r="I62" s="27" t="str">
        <f>B17</f>
        <v>Hackney Downs PCN</v>
      </c>
      <c r="J62" s="59">
        <f t="shared" ref="J62:J67" si="19">VLOOKUP(I62,$C$12:$J$58,7,0)</f>
        <v>12.3</v>
      </c>
      <c r="K62" s="59">
        <f t="shared" ref="K62:K67" si="20">VLOOKUP(I62,$C$12:$J$58,8,0)</f>
        <v>11.6</v>
      </c>
    </row>
    <row r="63" spans="1:15" s="27" customFormat="1" x14ac:dyDescent="0.2">
      <c r="A63" s="27">
        <f>RANK(E63,$E$61:$E$99,0)+COUNTIF($E$61:E63,E63)-1</f>
        <v>20</v>
      </c>
      <c r="B63" s="27" t="s">
        <v>20</v>
      </c>
      <c r="C63" s="27">
        <f t="shared" si="16"/>
        <v>7.9</v>
      </c>
      <c r="D63" s="27">
        <f t="shared" si="17"/>
        <v>6645</v>
      </c>
      <c r="E63" s="27">
        <f t="shared" si="18"/>
        <v>8.9</v>
      </c>
      <c r="G63" s="58">
        <f>RANK(K63,$K$61:$K$67,0)+COUNTIF($K$61:K63,K63)-1</f>
        <v>2</v>
      </c>
      <c r="I63" s="27" t="str">
        <f>B25</f>
        <v>Hackney Marshes PCN</v>
      </c>
      <c r="J63" s="59">
        <f t="shared" si="19"/>
        <v>14.8</v>
      </c>
      <c r="K63" s="59">
        <f t="shared" si="20"/>
        <v>14.3</v>
      </c>
    </row>
    <row r="64" spans="1:15" s="27" customFormat="1" x14ac:dyDescent="0.2">
      <c r="A64" s="27">
        <f>RANK(E64,$E$61:$E$99,0)+COUNTIF($E$61:E64,E64)-1</f>
        <v>23</v>
      </c>
      <c r="B64" s="27" t="s">
        <v>22</v>
      </c>
      <c r="C64" s="27">
        <f t="shared" si="16"/>
        <v>9.1</v>
      </c>
      <c r="D64" s="27">
        <f t="shared" si="17"/>
        <v>4712</v>
      </c>
      <c r="E64" s="27">
        <f t="shared" si="18"/>
        <v>7.9</v>
      </c>
      <c r="G64" s="58">
        <f>RANK(K64,$K$61:$K$67,0)+COUNTIF($K$61:K64,K64)-1</f>
        <v>3</v>
      </c>
      <c r="I64" s="27" t="str">
        <f>B31</f>
        <v>London Fields PCN</v>
      </c>
      <c r="J64" s="59">
        <f t="shared" si="19"/>
        <v>13.7</v>
      </c>
      <c r="K64" s="59">
        <f t="shared" si="20"/>
        <v>13.9</v>
      </c>
    </row>
    <row r="65" spans="1:11" s="27" customFormat="1" x14ac:dyDescent="0.2">
      <c r="A65" s="27">
        <f>RANK(E65,$E$61:$E$99,0)+COUNTIF($E$61:E65,E65)-1</f>
        <v>4</v>
      </c>
      <c r="B65" s="27" t="s">
        <v>25</v>
      </c>
      <c r="C65" s="27">
        <f t="shared" si="16"/>
        <v>22.2</v>
      </c>
      <c r="D65" s="27">
        <f t="shared" si="17"/>
        <v>12198</v>
      </c>
      <c r="E65" s="27">
        <f t="shared" si="18"/>
        <v>21</v>
      </c>
      <c r="G65" s="58">
        <f>RANK(K65,$K$61:$K$67,0)+COUNTIF($K$61:K65,K65)-1</f>
        <v>7</v>
      </c>
      <c r="I65" s="27" t="str">
        <f>B38</f>
        <v>Shoreditch Park PCN</v>
      </c>
      <c r="J65" s="59">
        <f t="shared" si="19"/>
        <v>11.6</v>
      </c>
      <c r="K65" s="59">
        <f t="shared" si="20"/>
        <v>10.199999999999999</v>
      </c>
    </row>
    <row r="66" spans="1:11" s="27" customFormat="1" x14ac:dyDescent="0.2">
      <c r="A66" s="27">
        <f>RANK(E66,$E$61:$E$99,0)+COUNTIF($E$61:E66,E66)-1</f>
        <v>13</v>
      </c>
      <c r="B66" s="27" t="s">
        <v>27</v>
      </c>
      <c r="C66" s="27">
        <f t="shared" si="16"/>
        <v>9.5</v>
      </c>
      <c r="D66" s="27">
        <f t="shared" si="17"/>
        <v>5275</v>
      </c>
      <c r="E66" s="27">
        <f t="shared" si="18"/>
        <v>12.9</v>
      </c>
      <c r="G66" s="58">
        <f>RANK(K66,$K$61:$K$67,0)+COUNTIF($K$61:K66,K66)-1</f>
        <v>5</v>
      </c>
      <c r="I66" s="27" t="str">
        <f>B47</f>
        <v>Well Street Common</v>
      </c>
      <c r="J66" s="59">
        <f t="shared" si="19"/>
        <v>13.5</v>
      </c>
      <c r="K66" s="59">
        <f t="shared" si="20"/>
        <v>12.8</v>
      </c>
    </row>
    <row r="67" spans="1:11" s="27" customFormat="1" x14ac:dyDescent="0.2">
      <c r="A67" s="27">
        <f>RANK(E67,$E$61:$E$99,0)+COUNTIF($E$61:E67,E67)-1</f>
        <v>16</v>
      </c>
      <c r="B67" s="27" t="s">
        <v>29</v>
      </c>
      <c r="C67" s="27">
        <f t="shared" si="16"/>
        <v>14.7</v>
      </c>
      <c r="D67" s="27">
        <f t="shared" si="17"/>
        <v>4927</v>
      </c>
      <c r="E67" s="27">
        <f t="shared" si="18"/>
        <v>11.4</v>
      </c>
      <c r="G67" s="58">
        <f>RANK(K67,$K$61:$K$67,0)+COUNTIF($K$61:K67,K67)-1</f>
        <v>4</v>
      </c>
      <c r="I67" s="27" t="str">
        <f>B53</f>
        <v>Woodberry Wetlands PCN</v>
      </c>
      <c r="J67" s="59">
        <f t="shared" si="19"/>
        <v>15.7</v>
      </c>
      <c r="K67" s="59">
        <f t="shared" si="20"/>
        <v>13.3</v>
      </c>
    </row>
    <row r="68" spans="1:11" s="27" customFormat="1" x14ac:dyDescent="0.2">
      <c r="A68" s="27">
        <f>RANK(E68,$E$61:$E$99,0)+COUNTIF($E$61:E68,E68)-1</f>
        <v>39</v>
      </c>
      <c r="B68" s="27" t="s">
        <v>31</v>
      </c>
      <c r="C68" s="27">
        <f t="shared" si="16"/>
        <v>1.3</v>
      </c>
      <c r="D68" s="27">
        <f t="shared" si="17"/>
        <v>6297</v>
      </c>
      <c r="E68" s="27">
        <f t="shared" si="18"/>
        <v>0.8</v>
      </c>
    </row>
    <row r="69" spans="1:11" s="27" customFormat="1" x14ac:dyDescent="0.2">
      <c r="A69" s="27">
        <f>RANK(E69,$E$61:$E$99,0)+COUNTIF($E$61:E69,E69)-1</f>
        <v>17</v>
      </c>
      <c r="B69" s="27" t="s">
        <v>33</v>
      </c>
      <c r="C69" s="27">
        <f t="shared" si="16"/>
        <v>7.5</v>
      </c>
      <c r="D69" s="27">
        <f t="shared" si="17"/>
        <v>3075</v>
      </c>
      <c r="E69" s="27">
        <f t="shared" si="18"/>
        <v>11.4</v>
      </c>
    </row>
    <row r="70" spans="1:11" s="27" customFormat="1" x14ac:dyDescent="0.2">
      <c r="A70" s="27">
        <f>RANK(E70,$E$61:$E$99,0)+COUNTIF($E$61:E70,E70)-1</f>
        <v>37</v>
      </c>
      <c r="B70" s="27" t="s">
        <v>35</v>
      </c>
      <c r="C70" s="27">
        <f t="shared" si="16"/>
        <v>5.7</v>
      </c>
      <c r="D70" s="27">
        <f t="shared" si="17"/>
        <v>1886</v>
      </c>
      <c r="E70" s="27">
        <f t="shared" si="18"/>
        <v>3.7</v>
      </c>
    </row>
    <row r="71" spans="1:11" s="27" customFormat="1" x14ac:dyDescent="0.2">
      <c r="A71" s="27">
        <f>RANK(E71,$E$61:$E$99,0)+COUNTIF($E$61:E71,E71)-1</f>
        <v>33</v>
      </c>
      <c r="B71" s="27" t="s">
        <v>37</v>
      </c>
      <c r="C71" s="27">
        <f t="shared" si="16"/>
        <v>8.6999999999999993</v>
      </c>
      <c r="D71" s="27">
        <f t="shared" si="17"/>
        <v>5671</v>
      </c>
      <c r="E71" s="27">
        <f t="shared" si="18"/>
        <v>4.9000000000000004</v>
      </c>
    </row>
    <row r="72" spans="1:11" s="27" customFormat="1" x14ac:dyDescent="0.2">
      <c r="A72" s="27">
        <f>RANK(E72,$E$61:$E$99,0)+COUNTIF($E$61:E72,E72)-1</f>
        <v>1</v>
      </c>
      <c r="B72" s="27" t="s">
        <v>40</v>
      </c>
      <c r="C72" s="27">
        <f t="shared" si="16"/>
        <v>34.1</v>
      </c>
      <c r="D72" s="27">
        <f t="shared" si="17"/>
        <v>15171</v>
      </c>
      <c r="E72" s="27">
        <f t="shared" si="18"/>
        <v>31.4</v>
      </c>
    </row>
    <row r="73" spans="1:11" s="27" customFormat="1" x14ac:dyDescent="0.2">
      <c r="A73" s="27">
        <f>RANK(E73,$E$61:$E$99,0)+COUNTIF($E$61:E73,E73)-1</f>
        <v>26</v>
      </c>
      <c r="B73" s="27" t="s">
        <v>42</v>
      </c>
      <c r="C73" s="27">
        <f t="shared" si="16"/>
        <v>5.5</v>
      </c>
      <c r="D73" s="27">
        <f t="shared" si="17"/>
        <v>4943</v>
      </c>
      <c r="E73" s="27">
        <f t="shared" si="18"/>
        <v>7.1</v>
      </c>
    </row>
    <row r="74" spans="1:11" s="27" customFormat="1" x14ac:dyDescent="0.2">
      <c r="A74" s="27">
        <f>RANK(E74,$E$61:$E$99,0)+COUNTIF($E$61:E74,E74)-1</f>
        <v>34</v>
      </c>
      <c r="B74" s="27" t="s">
        <v>44</v>
      </c>
      <c r="C74" s="27">
        <f t="shared" si="16"/>
        <v>3.9</v>
      </c>
      <c r="D74" s="27">
        <f t="shared" si="17"/>
        <v>11831</v>
      </c>
      <c r="E74" s="27">
        <f t="shared" si="18"/>
        <v>4.9000000000000004</v>
      </c>
    </row>
    <row r="75" spans="1:11" s="27" customFormat="1" x14ac:dyDescent="0.2">
      <c r="A75" s="27">
        <f>RANK(E75,$E$61:$E$99,0)+COUNTIF($E$61:E75,E75)-1</f>
        <v>35</v>
      </c>
      <c r="B75" s="27" t="s">
        <v>46</v>
      </c>
      <c r="C75" s="27">
        <f t="shared" si="16"/>
        <v>3.7</v>
      </c>
      <c r="D75" s="27">
        <f t="shared" si="17"/>
        <v>5313</v>
      </c>
      <c r="E75" s="27">
        <f t="shared" si="18"/>
        <v>4</v>
      </c>
    </row>
    <row r="76" spans="1:11" s="27" customFormat="1" x14ac:dyDescent="0.2">
      <c r="A76" s="27">
        <f>RANK(E76,$E$61:$E$99,0)+COUNTIF($E$61:E76,E76)-1</f>
        <v>38</v>
      </c>
      <c r="B76" s="27" t="s">
        <v>48</v>
      </c>
      <c r="C76" s="27">
        <f t="shared" si="16"/>
        <v>3.9</v>
      </c>
      <c r="D76" s="27">
        <f t="shared" si="17"/>
        <v>5399</v>
      </c>
      <c r="E76" s="27">
        <f t="shared" si="18"/>
        <v>3.3</v>
      </c>
    </row>
    <row r="77" spans="1:11" s="27" customFormat="1" x14ac:dyDescent="0.2">
      <c r="A77" s="27">
        <f>RANK(E77,$E$61:$E$99,0)+COUNTIF($E$61:E77,E77)-1</f>
        <v>18</v>
      </c>
      <c r="B77" s="27" t="s">
        <v>51</v>
      </c>
      <c r="C77" s="27">
        <f t="shared" si="16"/>
        <v>11.8</v>
      </c>
      <c r="D77" s="27">
        <f t="shared" si="17"/>
        <v>10883</v>
      </c>
      <c r="E77" s="27">
        <f t="shared" si="18"/>
        <v>10.5</v>
      </c>
    </row>
    <row r="78" spans="1:11" s="27" customFormat="1" x14ac:dyDescent="0.2">
      <c r="A78" s="27">
        <f>RANK(E78,$E$61:$E$99,0)+COUNTIF($E$61:E78,E78)-1</f>
        <v>10</v>
      </c>
      <c r="B78" s="27" t="s">
        <v>53</v>
      </c>
      <c r="C78" s="27">
        <f t="shared" si="16"/>
        <v>13.1</v>
      </c>
      <c r="D78" s="27">
        <f t="shared" si="17"/>
        <v>16879</v>
      </c>
      <c r="E78" s="27">
        <f t="shared" si="18"/>
        <v>15.5</v>
      </c>
    </row>
    <row r="79" spans="1:11" s="27" customFormat="1" x14ac:dyDescent="0.2">
      <c r="A79" s="27">
        <f>RANK(E79,$E$61:$E$99,0)+COUNTIF($E$61:E79,E79)-1</f>
        <v>30</v>
      </c>
      <c r="B79" s="27" t="s">
        <v>55</v>
      </c>
      <c r="C79" s="27">
        <f t="shared" si="16"/>
        <v>1.8</v>
      </c>
      <c r="D79" s="27">
        <f t="shared" si="17"/>
        <v>3893</v>
      </c>
      <c r="E79" s="27">
        <f t="shared" si="18"/>
        <v>6.4</v>
      </c>
    </row>
    <row r="80" spans="1:11" s="27" customFormat="1" x14ac:dyDescent="0.2">
      <c r="A80" s="27">
        <f>RANK(E80,$E$61:$E$99,0)+COUNTIF($E$61:E80,E80)-1</f>
        <v>25</v>
      </c>
      <c r="B80" s="27" t="s">
        <v>57</v>
      </c>
      <c r="C80" s="27">
        <f t="shared" si="16"/>
        <v>11</v>
      </c>
      <c r="D80" s="27">
        <f t="shared" si="17"/>
        <v>5973</v>
      </c>
      <c r="E80" s="27">
        <f t="shared" si="18"/>
        <v>7.5</v>
      </c>
    </row>
    <row r="81" spans="1:5" s="27" customFormat="1" x14ac:dyDescent="0.2">
      <c r="A81" s="27">
        <f>RANK(E81,$E$61:$E$99,0)+COUNTIF($E$61:E81,E81)-1</f>
        <v>2</v>
      </c>
      <c r="B81" s="27" t="s">
        <v>59</v>
      </c>
      <c r="C81" s="27">
        <f t="shared" si="16"/>
        <v>23.1</v>
      </c>
      <c r="D81" s="27">
        <f t="shared" si="17"/>
        <v>10320</v>
      </c>
      <c r="E81" s="27">
        <f t="shared" si="18"/>
        <v>23.6</v>
      </c>
    </row>
    <row r="82" spans="1:5" s="27" customFormat="1" x14ac:dyDescent="0.2">
      <c r="A82" s="27">
        <f>RANK(E82,$E$61:$E$99,0)+COUNTIF($E$61:E82,E82)-1</f>
        <v>19</v>
      </c>
      <c r="B82" s="27" t="s">
        <v>61</v>
      </c>
      <c r="C82" s="27">
        <f t="shared" si="16"/>
        <v>13.8</v>
      </c>
      <c r="D82" s="27">
        <f t="shared" si="17"/>
        <v>4458</v>
      </c>
      <c r="E82" s="27">
        <f t="shared" si="18"/>
        <v>9.1999999999999993</v>
      </c>
    </row>
    <row r="83" spans="1:5" s="27" customFormat="1" x14ac:dyDescent="0.2">
      <c r="A83" s="27">
        <f>RANK(E83,$E$61:$E$99,0)+COUNTIF($E$61:E83,E83)-1</f>
        <v>28</v>
      </c>
      <c r="B83" s="27" t="s">
        <v>64</v>
      </c>
      <c r="C83" s="27">
        <f t="shared" si="16"/>
        <v>6.6</v>
      </c>
      <c r="D83" s="27">
        <f t="shared" si="17"/>
        <v>12685</v>
      </c>
      <c r="E83" s="27">
        <f t="shared" si="18"/>
        <v>6.9</v>
      </c>
    </row>
    <row r="84" spans="1:5" s="27" customFormat="1" x14ac:dyDescent="0.2">
      <c r="A84" s="27">
        <f>RANK(E84,$E$61:$E$99,0)+COUNTIF($E$61:E84,E84)-1</f>
        <v>12</v>
      </c>
      <c r="B84" s="27" t="s">
        <v>66</v>
      </c>
      <c r="C84" s="27">
        <f t="shared" si="16"/>
        <v>15</v>
      </c>
      <c r="D84" s="27">
        <f t="shared" si="17"/>
        <v>15537</v>
      </c>
      <c r="E84" s="27">
        <f t="shared" si="18"/>
        <v>13.1</v>
      </c>
    </row>
    <row r="85" spans="1:5" s="27" customFormat="1" x14ac:dyDescent="0.2">
      <c r="A85" s="27">
        <f>RANK(E85,$E$61:$E$99,0)+COUNTIF($E$61:E85,E85)-1</f>
        <v>22</v>
      </c>
      <c r="B85" s="27" t="s">
        <v>68</v>
      </c>
      <c r="C85" s="27">
        <f t="shared" si="16"/>
        <v>7.7</v>
      </c>
      <c r="D85" s="27">
        <f t="shared" si="17"/>
        <v>9523</v>
      </c>
      <c r="E85" s="27">
        <f t="shared" si="18"/>
        <v>8</v>
      </c>
    </row>
    <row r="86" spans="1:5" s="27" customFormat="1" x14ac:dyDescent="0.2">
      <c r="A86" s="27">
        <f>RANK(E86,$E$61:$E$99,0)+COUNTIF($E$61:E86,E86)-1</f>
        <v>21</v>
      </c>
      <c r="B86" s="27" t="s">
        <v>70</v>
      </c>
      <c r="C86" s="27">
        <f t="shared" si="16"/>
        <v>8.6999999999999993</v>
      </c>
      <c r="D86" s="27">
        <f t="shared" si="17"/>
        <v>10033</v>
      </c>
      <c r="E86" s="27">
        <f t="shared" si="18"/>
        <v>8.9</v>
      </c>
    </row>
    <row r="87" spans="1:5" s="27" customFormat="1" x14ac:dyDescent="0.2">
      <c r="A87" s="27">
        <f>RANK(E87,$E$61:$E$99,0)+COUNTIF($E$61:E87,E87)-1</f>
        <v>31</v>
      </c>
      <c r="B87" s="27" t="s">
        <v>72</v>
      </c>
      <c r="C87" s="27">
        <f t="shared" si="16"/>
        <v>10.6</v>
      </c>
      <c r="D87" s="27">
        <f t="shared" si="17"/>
        <v>8860</v>
      </c>
      <c r="E87" s="27">
        <f t="shared" si="18"/>
        <v>6.2</v>
      </c>
    </row>
    <row r="88" spans="1:5" s="27" customFormat="1" x14ac:dyDescent="0.2">
      <c r="A88" s="27">
        <f>RANK(E88,$E$61:$E$99,0)+COUNTIF($E$61:E88,E88)-1</f>
        <v>29</v>
      </c>
      <c r="B88" s="27" t="s">
        <v>74</v>
      </c>
      <c r="C88" s="27">
        <f t="shared" si="16"/>
        <v>7.6</v>
      </c>
      <c r="D88" s="27">
        <f t="shared" si="17"/>
        <v>16972</v>
      </c>
      <c r="E88" s="27">
        <f t="shared" si="18"/>
        <v>6.7</v>
      </c>
    </row>
    <row r="89" spans="1:5" s="27" customFormat="1" x14ac:dyDescent="0.2">
      <c r="A89" s="27">
        <f>RANK(E89,$E$61:$E$99,0)+COUNTIF($E$61:E89,E89)-1</f>
        <v>24</v>
      </c>
      <c r="B89" s="27" t="s">
        <v>76</v>
      </c>
      <c r="C89" s="27">
        <f t="shared" si="16"/>
        <v>6.3</v>
      </c>
      <c r="D89" s="27">
        <f t="shared" si="17"/>
        <v>8484</v>
      </c>
      <c r="E89" s="27">
        <f t="shared" si="18"/>
        <v>7.8</v>
      </c>
    </row>
    <row r="90" spans="1:5" s="27" customFormat="1" x14ac:dyDescent="0.2">
      <c r="A90" s="27">
        <f>RANK(E90,$E$61:$E$99,0)+COUNTIF($E$61:E90,E90)-1</f>
        <v>6</v>
      </c>
      <c r="B90" s="27" t="s">
        <v>78</v>
      </c>
      <c r="C90" s="27">
        <f t="shared" si="16"/>
        <v>25</v>
      </c>
      <c r="D90" s="27">
        <f t="shared" si="17"/>
        <v>15145</v>
      </c>
      <c r="E90" s="27">
        <f t="shared" si="18"/>
        <v>20.100000000000001</v>
      </c>
    </row>
    <row r="91" spans="1:5" s="27" customFormat="1" x14ac:dyDescent="0.2">
      <c r="A91" s="27">
        <f>RANK(E91,$E$61:$E$99,0)+COUNTIF($E$61:E91,E91)-1</f>
        <v>11</v>
      </c>
      <c r="B91" s="27" t="s">
        <v>81</v>
      </c>
      <c r="C91" s="27">
        <f t="shared" si="16"/>
        <v>16.399999999999999</v>
      </c>
      <c r="D91" s="27">
        <f t="shared" si="17"/>
        <v>14066</v>
      </c>
      <c r="E91" s="27">
        <f t="shared" si="18"/>
        <v>14.2</v>
      </c>
    </row>
    <row r="92" spans="1:5" s="27" customFormat="1" x14ac:dyDescent="0.2">
      <c r="A92" s="27">
        <f>RANK(E92,$E$61:$E$99,0)+COUNTIF($E$61:E92,E92)-1</f>
        <v>5</v>
      </c>
      <c r="B92" s="27" t="s">
        <v>83</v>
      </c>
      <c r="C92" s="27">
        <f t="shared" si="16"/>
        <v>18.2</v>
      </c>
      <c r="D92" s="27">
        <f t="shared" si="17"/>
        <v>7348</v>
      </c>
      <c r="E92" s="27">
        <f t="shared" si="18"/>
        <v>20.3</v>
      </c>
    </row>
    <row r="93" spans="1:5" s="27" customFormat="1" x14ac:dyDescent="0.2">
      <c r="A93" s="27">
        <f>RANK(E93,$E$61:$E$99,0)+COUNTIF($E$61:E93,E93)-1</f>
        <v>14</v>
      </c>
      <c r="B93" s="27" t="s">
        <v>85</v>
      </c>
      <c r="C93" s="27">
        <f t="shared" si="16"/>
        <v>10.8</v>
      </c>
      <c r="D93" s="27">
        <f t="shared" si="17"/>
        <v>7726</v>
      </c>
      <c r="E93" s="27">
        <f t="shared" si="18"/>
        <v>12.6</v>
      </c>
    </row>
    <row r="94" spans="1:5" s="27" customFormat="1" x14ac:dyDescent="0.2">
      <c r="A94" s="27">
        <f>RANK(E94,$E$61:$E$99,0)+COUNTIF($E$61:E94,E94)-1</f>
        <v>36</v>
      </c>
      <c r="B94" s="27" t="s">
        <v>87</v>
      </c>
      <c r="C94" s="27">
        <f t="shared" si="16"/>
        <v>3.8</v>
      </c>
      <c r="D94" s="27">
        <f t="shared" si="17"/>
        <v>1319</v>
      </c>
      <c r="E94" s="27">
        <f t="shared" si="18"/>
        <v>3.8</v>
      </c>
    </row>
    <row r="95" spans="1:5" s="27" customFormat="1" x14ac:dyDescent="0.2">
      <c r="A95" s="27">
        <f>RANK(E95,$E$61:$E$99,0)+COUNTIF($E$61:E95,E95)-1</f>
        <v>32</v>
      </c>
      <c r="B95" s="27" t="s">
        <v>89</v>
      </c>
      <c r="C95" s="27">
        <f t="shared" si="16"/>
        <v>7.9</v>
      </c>
      <c r="D95" s="27">
        <f t="shared" si="17"/>
        <v>7851</v>
      </c>
      <c r="E95" s="27">
        <f t="shared" si="18"/>
        <v>5.0999999999999996</v>
      </c>
    </row>
    <row r="96" spans="1:5" s="27" customFormat="1" x14ac:dyDescent="0.2">
      <c r="A96" s="27">
        <f>RANK(E96,$E$61:$E$99,0)+COUNTIF($E$61:E96,E96)-1</f>
        <v>7</v>
      </c>
      <c r="B96" s="27" t="s">
        <v>92</v>
      </c>
      <c r="C96" s="27">
        <f t="shared" si="16"/>
        <v>11.7</v>
      </c>
      <c r="D96" s="27">
        <f t="shared" si="17"/>
        <v>7791</v>
      </c>
      <c r="E96" s="27">
        <f t="shared" si="18"/>
        <v>15.9</v>
      </c>
    </row>
    <row r="97" spans="1:5" s="27" customFormat="1" x14ac:dyDescent="0.2">
      <c r="A97" s="27">
        <f>RANK(E97,$E$61:$E$99,0)+COUNTIF($E$61:E97,E97)-1</f>
        <v>15</v>
      </c>
      <c r="B97" s="27" t="s">
        <v>94</v>
      </c>
      <c r="C97" s="27">
        <f t="shared" si="16"/>
        <v>14.8</v>
      </c>
      <c r="D97" s="27">
        <f t="shared" si="17"/>
        <v>8444</v>
      </c>
      <c r="E97" s="27">
        <f t="shared" si="18"/>
        <v>11.7</v>
      </c>
    </row>
    <row r="98" spans="1:5" s="27" customFormat="1" x14ac:dyDescent="0.2">
      <c r="A98" s="27">
        <f>RANK(E98,$E$61:$E$99,0)+COUNTIF($E$61:E98,E98)-1</f>
        <v>9</v>
      </c>
      <c r="B98" s="27" t="s">
        <v>96</v>
      </c>
      <c r="C98" s="27">
        <f t="shared" si="16"/>
        <v>21.5</v>
      </c>
      <c r="D98" s="27">
        <f t="shared" si="17"/>
        <v>12460</v>
      </c>
      <c r="E98" s="27">
        <f t="shared" si="18"/>
        <v>15.7</v>
      </c>
    </row>
    <row r="99" spans="1:5" s="27" customFormat="1" x14ac:dyDescent="0.2">
      <c r="A99" s="27">
        <f>RANK(E99,$E$61:$E$99,0)+COUNTIF($E$61:E99,E99)-1</f>
        <v>27</v>
      </c>
      <c r="B99" s="27" t="s">
        <v>98</v>
      </c>
      <c r="C99" s="27">
        <f>VLOOKUP($B99,$C$11:$M$56,7,0)</f>
        <v>10.1</v>
      </c>
      <c r="D99" s="27">
        <f t="shared" si="17"/>
        <v>5929</v>
      </c>
      <c r="E99" s="27">
        <f t="shared" si="18"/>
        <v>7.1</v>
      </c>
    </row>
    <row r="100" spans="1:5" s="27" customFormat="1" x14ac:dyDescent="0.2"/>
    <row r="101" spans="1:5" s="27" customFormat="1" x14ac:dyDescent="0.2"/>
    <row r="102" spans="1:5" s="27" customFormat="1" x14ac:dyDescent="0.2"/>
    <row r="103" spans="1:5" s="27" customFormat="1" x14ac:dyDescent="0.2"/>
    <row r="104" spans="1:5" s="27" customFormat="1" x14ac:dyDescent="0.2"/>
    <row r="105" spans="1:5" s="27" customFormat="1" x14ac:dyDescent="0.2"/>
    <row r="106" spans="1:5" s="27" customFormat="1" x14ac:dyDescent="0.2"/>
    <row r="107" spans="1:5" s="27" customFormat="1" x14ac:dyDescent="0.2"/>
    <row r="108" spans="1:5" s="27" customFormat="1" x14ac:dyDescent="0.2"/>
    <row r="109" spans="1:5" s="27" customFormat="1" x14ac:dyDescent="0.2"/>
    <row r="110" spans="1:5" s="27" customFormat="1" x14ac:dyDescent="0.2"/>
    <row r="111" spans="1:5" s="27" customFormat="1" x14ac:dyDescent="0.2">
      <c r="B111" s="27" t="s">
        <v>9</v>
      </c>
      <c r="C111" s="27" t="str">
        <f>C7</f>
        <v>Oct-21 to Mar-22</v>
      </c>
      <c r="D111" s="27" t="str">
        <f>C8</f>
        <v>Apr-22 to Sep-22</v>
      </c>
      <c r="E111" s="27" t="s">
        <v>101</v>
      </c>
    </row>
    <row r="112" spans="1:5" s="27" customFormat="1" x14ac:dyDescent="0.2">
      <c r="A112" s="27">
        <v>1</v>
      </c>
      <c r="B112" s="27" t="str">
        <f>VLOOKUP(A112,$A$61:$E$99,2,0)</f>
        <v>Lower Clapton Group Practice</v>
      </c>
      <c r="C112" s="27">
        <f>VLOOKUP($A112,$A$61:$E$99,3,0)</f>
        <v>34.1</v>
      </c>
      <c r="D112" s="27">
        <f>VLOOKUP($A112,$A$61:$E$99,5,0)</f>
        <v>31.4</v>
      </c>
      <c r="E112" s="27">
        <f>$J$58</f>
        <v>12.6</v>
      </c>
    </row>
    <row r="113" spans="1:5" s="27" customFormat="1" x14ac:dyDescent="0.2">
      <c r="A113" s="27">
        <v>2</v>
      </c>
      <c r="B113" s="27" t="str">
        <f t="shared" ref="B113:B150" si="21">VLOOKUP(A113,$A$61:$E$99,2,0)</f>
        <v>Queensbridge Group Practice</v>
      </c>
      <c r="C113" s="27">
        <f t="shared" ref="C113:C150" si="22">VLOOKUP($A113,$A$61:$E$99,3,0)</f>
        <v>23.1</v>
      </c>
      <c r="D113" s="27">
        <f t="shared" ref="D113:D150" si="23">VLOOKUP($A113,$A$61:$E$99,5,0)</f>
        <v>23.6</v>
      </c>
      <c r="E113" s="27">
        <f t="shared" ref="E113:E147" si="24">$J$58</f>
        <v>12.6</v>
      </c>
    </row>
    <row r="114" spans="1:5" s="27" customFormat="1" x14ac:dyDescent="0.2">
      <c r="A114" s="27">
        <v>3</v>
      </c>
      <c r="B114" s="27" t="str">
        <f t="shared" si="21"/>
        <v>Somerford Grove Practice</v>
      </c>
      <c r="C114" s="27">
        <f t="shared" si="22"/>
        <v>17.600000000000001</v>
      </c>
      <c r="D114" s="27">
        <f t="shared" si="23"/>
        <v>21.3</v>
      </c>
      <c r="E114" s="27">
        <f t="shared" si="24"/>
        <v>12.6</v>
      </c>
    </row>
    <row r="115" spans="1:5" s="27" customFormat="1" x14ac:dyDescent="0.2">
      <c r="A115" s="27">
        <v>4</v>
      </c>
      <c r="B115" s="27" t="str">
        <f t="shared" si="21"/>
        <v>The Nightingale Practice</v>
      </c>
      <c r="C115" s="27">
        <f t="shared" si="22"/>
        <v>22.2</v>
      </c>
      <c r="D115" s="27">
        <f t="shared" si="23"/>
        <v>21</v>
      </c>
      <c r="E115" s="27">
        <f t="shared" si="24"/>
        <v>12.6</v>
      </c>
    </row>
    <row r="116" spans="1:5" s="27" customFormat="1" x14ac:dyDescent="0.2">
      <c r="A116" s="27">
        <v>5</v>
      </c>
      <c r="B116" s="27" t="str">
        <f t="shared" si="21"/>
        <v>Elsdale Street Surgery</v>
      </c>
      <c r="C116" s="27">
        <f t="shared" si="22"/>
        <v>18.2</v>
      </c>
      <c r="D116" s="27">
        <f t="shared" si="23"/>
        <v>20.3</v>
      </c>
      <c r="E116" s="27">
        <f t="shared" si="24"/>
        <v>12.6</v>
      </c>
    </row>
    <row r="117" spans="1:5" s="27" customFormat="1" x14ac:dyDescent="0.2">
      <c r="A117" s="27">
        <v>6</v>
      </c>
      <c r="B117" s="27" t="str">
        <f t="shared" si="21"/>
        <v>Spring Hill Practice</v>
      </c>
      <c r="C117" s="27">
        <f t="shared" si="22"/>
        <v>25</v>
      </c>
      <c r="D117" s="27">
        <f t="shared" si="23"/>
        <v>20.100000000000001</v>
      </c>
      <c r="E117" s="27">
        <f t="shared" si="24"/>
        <v>12.6</v>
      </c>
    </row>
    <row r="118" spans="1:5" s="27" customFormat="1" x14ac:dyDescent="0.2">
      <c r="A118" s="27">
        <v>7</v>
      </c>
      <c r="B118" s="27" t="str">
        <f t="shared" si="21"/>
        <v>The Cedar Practice</v>
      </c>
      <c r="C118" s="27">
        <f t="shared" si="22"/>
        <v>11.7</v>
      </c>
      <c r="D118" s="27">
        <f t="shared" si="23"/>
        <v>15.9</v>
      </c>
      <c r="E118" s="27">
        <f t="shared" si="24"/>
        <v>12.6</v>
      </c>
    </row>
    <row r="119" spans="1:5" s="27" customFormat="1" x14ac:dyDescent="0.2">
      <c r="A119" s="27">
        <v>8</v>
      </c>
      <c r="B119" s="27" t="str">
        <f t="shared" si="21"/>
        <v>Barton House Group Practice</v>
      </c>
      <c r="C119" s="27">
        <f t="shared" si="22"/>
        <v>16.600000000000001</v>
      </c>
      <c r="D119" s="27">
        <f t="shared" si="23"/>
        <v>15.7</v>
      </c>
      <c r="E119" s="27">
        <f t="shared" si="24"/>
        <v>12.6</v>
      </c>
    </row>
    <row r="120" spans="1:5" s="27" customFormat="1" x14ac:dyDescent="0.2">
      <c r="A120" s="27">
        <v>9</v>
      </c>
      <c r="B120" s="27" t="str">
        <f t="shared" si="21"/>
        <v>The Heron Practice</v>
      </c>
      <c r="C120" s="27">
        <f t="shared" si="22"/>
        <v>21.5</v>
      </c>
      <c r="D120" s="27">
        <f t="shared" si="23"/>
        <v>15.7</v>
      </c>
      <c r="E120" s="27">
        <f t="shared" si="24"/>
        <v>12.6</v>
      </c>
    </row>
    <row r="121" spans="1:5" s="27" customFormat="1" x14ac:dyDescent="0.2">
      <c r="A121" s="27">
        <v>10</v>
      </c>
      <c r="B121" s="27" t="str">
        <f t="shared" si="21"/>
        <v>Richmond Road Medical Centre</v>
      </c>
      <c r="C121" s="27">
        <f t="shared" si="22"/>
        <v>13.1</v>
      </c>
      <c r="D121" s="27">
        <f t="shared" si="23"/>
        <v>15.5</v>
      </c>
      <c r="E121" s="27">
        <f t="shared" si="24"/>
        <v>12.6</v>
      </c>
    </row>
    <row r="122" spans="1:5" s="27" customFormat="1" x14ac:dyDescent="0.2">
      <c r="A122" s="27">
        <v>11</v>
      </c>
      <c r="B122" s="27" t="str">
        <f t="shared" si="21"/>
        <v>Well Street Surgery</v>
      </c>
      <c r="C122" s="27">
        <f t="shared" si="22"/>
        <v>16.399999999999999</v>
      </c>
      <c r="D122" s="27">
        <f t="shared" si="23"/>
        <v>14.2</v>
      </c>
      <c r="E122" s="27">
        <f t="shared" si="24"/>
        <v>12.6</v>
      </c>
    </row>
    <row r="123" spans="1:5" s="27" customFormat="1" x14ac:dyDescent="0.2">
      <c r="A123" s="27">
        <v>12</v>
      </c>
      <c r="B123" s="27" t="str">
        <f t="shared" si="21"/>
        <v>The Lawson Practice</v>
      </c>
      <c r="C123" s="27">
        <f t="shared" si="22"/>
        <v>15</v>
      </c>
      <c r="D123" s="27">
        <f t="shared" si="23"/>
        <v>13.1</v>
      </c>
      <c r="E123" s="27">
        <f t="shared" si="24"/>
        <v>12.6</v>
      </c>
    </row>
    <row r="124" spans="1:5" s="27" customFormat="1" x14ac:dyDescent="0.2">
      <c r="A124" s="27">
        <v>13</v>
      </c>
      <c r="B124" s="27" t="str">
        <f t="shared" si="21"/>
        <v>Fountayne Road Health Centre</v>
      </c>
      <c r="C124" s="27">
        <f t="shared" si="22"/>
        <v>9.5</v>
      </c>
      <c r="D124" s="27">
        <f t="shared" si="23"/>
        <v>12.9</v>
      </c>
      <c r="E124" s="27">
        <f t="shared" si="24"/>
        <v>12.6</v>
      </c>
    </row>
    <row r="125" spans="1:5" s="27" customFormat="1" x14ac:dyDescent="0.2">
      <c r="A125" s="27">
        <v>14</v>
      </c>
      <c r="B125" s="27" t="str">
        <f t="shared" si="21"/>
        <v>The Wick Health Centre</v>
      </c>
      <c r="C125" s="27">
        <f t="shared" si="22"/>
        <v>10.8</v>
      </c>
      <c r="D125" s="27">
        <f t="shared" si="23"/>
        <v>12.6</v>
      </c>
      <c r="E125" s="27">
        <f t="shared" si="24"/>
        <v>12.6</v>
      </c>
    </row>
    <row r="126" spans="1:5" s="27" customFormat="1" x14ac:dyDescent="0.2">
      <c r="A126" s="27">
        <v>15</v>
      </c>
      <c r="B126" s="27" t="str">
        <f t="shared" si="21"/>
        <v>The Statham Grove Surgery</v>
      </c>
      <c r="C126" s="27">
        <f t="shared" si="22"/>
        <v>14.8</v>
      </c>
      <c r="D126" s="27">
        <f t="shared" si="23"/>
        <v>11.7</v>
      </c>
      <c r="E126" s="27">
        <f t="shared" si="24"/>
        <v>12.6</v>
      </c>
    </row>
    <row r="127" spans="1:5" s="27" customFormat="1" x14ac:dyDescent="0.2">
      <c r="A127" s="27">
        <v>16</v>
      </c>
      <c r="B127" s="27" t="str">
        <f t="shared" si="21"/>
        <v>The Riverside Practice</v>
      </c>
      <c r="C127" s="27">
        <f t="shared" si="22"/>
        <v>14.7</v>
      </c>
      <c r="D127" s="27">
        <f t="shared" si="23"/>
        <v>11.4</v>
      </c>
      <c r="E127" s="27">
        <f t="shared" si="24"/>
        <v>12.6</v>
      </c>
    </row>
    <row r="128" spans="1:5" s="27" customFormat="1" x14ac:dyDescent="0.2">
      <c r="A128" s="27">
        <v>17</v>
      </c>
      <c r="B128" s="27" t="str">
        <f t="shared" si="21"/>
        <v>The Elm Practice</v>
      </c>
      <c r="C128" s="27">
        <f t="shared" si="22"/>
        <v>7.5</v>
      </c>
      <c r="D128" s="27">
        <f t="shared" si="23"/>
        <v>11.4</v>
      </c>
      <c r="E128" s="27">
        <f t="shared" si="24"/>
        <v>12.6</v>
      </c>
    </row>
    <row r="129" spans="1:5" s="27" customFormat="1" x14ac:dyDescent="0.2">
      <c r="A129" s="27">
        <v>18</v>
      </c>
      <c r="B129" s="27" t="str">
        <f t="shared" si="21"/>
        <v>London Fields Medical Centre</v>
      </c>
      <c r="C129" s="27">
        <f t="shared" si="22"/>
        <v>11.8</v>
      </c>
      <c r="D129" s="27">
        <f t="shared" si="23"/>
        <v>10.5</v>
      </c>
      <c r="E129" s="27">
        <f t="shared" si="24"/>
        <v>12.6</v>
      </c>
    </row>
    <row r="130" spans="1:5" s="27" customFormat="1" x14ac:dyDescent="0.2">
      <c r="A130" s="27">
        <v>19</v>
      </c>
      <c r="B130" s="27" t="str">
        <f t="shared" si="21"/>
        <v>Sandringham Practice</v>
      </c>
      <c r="C130" s="27">
        <f t="shared" si="22"/>
        <v>13.8</v>
      </c>
      <c r="D130" s="27">
        <f t="shared" si="23"/>
        <v>9.1999999999999993</v>
      </c>
      <c r="E130" s="27">
        <f t="shared" si="24"/>
        <v>12.6</v>
      </c>
    </row>
    <row r="131" spans="1:5" s="27" customFormat="1" x14ac:dyDescent="0.2">
      <c r="A131" s="27">
        <v>20</v>
      </c>
      <c r="B131" s="27" t="str">
        <f t="shared" si="21"/>
        <v>The Surgery (Barretts Grove)</v>
      </c>
      <c r="C131" s="27">
        <f t="shared" si="22"/>
        <v>7.9</v>
      </c>
      <c r="D131" s="27">
        <f t="shared" si="23"/>
        <v>8.9</v>
      </c>
      <c r="E131" s="27">
        <f t="shared" si="24"/>
        <v>12.6</v>
      </c>
    </row>
    <row r="132" spans="1:5" s="27" customFormat="1" x14ac:dyDescent="0.2">
      <c r="A132" s="27">
        <v>21</v>
      </c>
      <c r="B132" s="27" t="str">
        <f t="shared" si="21"/>
        <v>The Neaman Practice</v>
      </c>
      <c r="C132" s="27">
        <f t="shared" si="22"/>
        <v>8.6999999999999993</v>
      </c>
      <c r="D132" s="27">
        <f t="shared" si="23"/>
        <v>8.9</v>
      </c>
      <c r="E132" s="27">
        <f t="shared" si="24"/>
        <v>12.6</v>
      </c>
    </row>
    <row r="133" spans="1:5" s="27" customFormat="1" x14ac:dyDescent="0.2">
      <c r="A133" s="27">
        <v>22</v>
      </c>
      <c r="B133" s="27" t="str">
        <f t="shared" si="21"/>
        <v>Shoreditch Park Surgery</v>
      </c>
      <c r="C133" s="27">
        <f t="shared" si="22"/>
        <v>7.7</v>
      </c>
      <c r="D133" s="27">
        <f t="shared" si="23"/>
        <v>8</v>
      </c>
      <c r="E133" s="27">
        <f t="shared" si="24"/>
        <v>12.6</v>
      </c>
    </row>
    <row r="134" spans="1:5" s="27" customFormat="1" x14ac:dyDescent="0.2">
      <c r="A134" s="27">
        <v>23</v>
      </c>
      <c r="B134" s="27" t="str">
        <f t="shared" si="21"/>
        <v>The Surgery (Brooke Road)</v>
      </c>
      <c r="C134" s="27">
        <f t="shared" si="22"/>
        <v>9.1</v>
      </c>
      <c r="D134" s="27">
        <f t="shared" si="23"/>
        <v>7.9</v>
      </c>
      <c r="E134" s="27">
        <f t="shared" si="24"/>
        <v>12.6</v>
      </c>
    </row>
    <row r="135" spans="1:5" s="27" customFormat="1" x14ac:dyDescent="0.2">
      <c r="A135" s="27">
        <v>24</v>
      </c>
      <c r="B135" s="27" t="str">
        <f t="shared" si="21"/>
        <v>The Surgery (Cranwich Road)</v>
      </c>
      <c r="C135" s="27">
        <f t="shared" si="22"/>
        <v>6.3</v>
      </c>
      <c r="D135" s="27">
        <f t="shared" si="23"/>
        <v>7.8</v>
      </c>
      <c r="E135" s="27">
        <f t="shared" si="24"/>
        <v>12.6</v>
      </c>
    </row>
    <row r="136" spans="1:5" s="27" customFormat="1" x14ac:dyDescent="0.2">
      <c r="A136" s="27">
        <v>25</v>
      </c>
      <c r="B136" s="27" t="str">
        <f t="shared" si="21"/>
        <v>The Dalston Practice</v>
      </c>
      <c r="C136" s="27">
        <f t="shared" si="22"/>
        <v>11</v>
      </c>
      <c r="D136" s="27">
        <f t="shared" si="23"/>
        <v>7.5</v>
      </c>
      <c r="E136" s="27">
        <f t="shared" si="24"/>
        <v>12.6</v>
      </c>
    </row>
    <row r="137" spans="1:5" s="27" customFormat="1" x14ac:dyDescent="0.2">
      <c r="A137" s="27">
        <v>26</v>
      </c>
      <c r="B137" s="27" t="str">
        <f t="shared" si="21"/>
        <v>Athena Medical Centre</v>
      </c>
      <c r="C137" s="27">
        <f t="shared" si="22"/>
        <v>5.5</v>
      </c>
      <c r="D137" s="27">
        <f t="shared" si="23"/>
        <v>7.1</v>
      </c>
      <c r="E137" s="27">
        <f t="shared" si="24"/>
        <v>12.6</v>
      </c>
    </row>
    <row r="138" spans="1:5" s="27" customFormat="1" x14ac:dyDescent="0.2">
      <c r="A138" s="27">
        <v>27</v>
      </c>
      <c r="B138" s="27" t="str">
        <f t="shared" si="21"/>
        <v>The Allerton Road Surgery</v>
      </c>
      <c r="C138" s="27">
        <f t="shared" si="22"/>
        <v>10.1</v>
      </c>
      <c r="D138" s="27">
        <f t="shared" si="23"/>
        <v>7.1</v>
      </c>
      <c r="E138" s="27">
        <f t="shared" si="24"/>
        <v>12.6</v>
      </c>
    </row>
    <row r="139" spans="1:5" s="27" customFormat="1" x14ac:dyDescent="0.2">
      <c r="A139" s="27">
        <v>28</v>
      </c>
      <c r="B139" s="27" t="str">
        <f t="shared" si="21"/>
        <v>De Beauvoir Surgery</v>
      </c>
      <c r="C139" s="27">
        <f t="shared" si="22"/>
        <v>6.6</v>
      </c>
      <c r="D139" s="27">
        <f t="shared" si="23"/>
        <v>6.9</v>
      </c>
      <c r="E139" s="27">
        <f t="shared" si="24"/>
        <v>12.6</v>
      </c>
    </row>
    <row r="140" spans="1:5" s="27" customFormat="1" x14ac:dyDescent="0.2">
      <c r="A140" s="27">
        <v>29</v>
      </c>
      <c r="B140" s="27" t="str">
        <f t="shared" si="21"/>
        <v>Stamford Hill Group Practice</v>
      </c>
      <c r="C140" s="27">
        <f t="shared" si="22"/>
        <v>7.6</v>
      </c>
      <c r="D140" s="27">
        <f t="shared" si="23"/>
        <v>6.7</v>
      </c>
      <c r="E140" s="27">
        <f t="shared" si="24"/>
        <v>12.6</v>
      </c>
    </row>
    <row r="141" spans="1:5" s="27" customFormat="1" x14ac:dyDescent="0.2">
      <c r="A141" s="27">
        <v>30</v>
      </c>
      <c r="B141" s="27" t="str">
        <f t="shared" si="21"/>
        <v>Beechwood Medical Centre</v>
      </c>
      <c r="C141" s="27">
        <f t="shared" si="22"/>
        <v>1.8</v>
      </c>
      <c r="D141" s="27">
        <f t="shared" si="23"/>
        <v>6.4</v>
      </c>
      <c r="E141" s="27">
        <f t="shared" si="24"/>
        <v>12.6</v>
      </c>
    </row>
    <row r="142" spans="1:5" s="27" customFormat="1" x14ac:dyDescent="0.2">
      <c r="A142" s="27">
        <v>31</v>
      </c>
      <c r="B142" s="27" t="str">
        <f t="shared" si="21"/>
        <v>The Hoxton Surgery</v>
      </c>
      <c r="C142" s="27">
        <f t="shared" si="22"/>
        <v>10.6</v>
      </c>
      <c r="D142" s="27">
        <f t="shared" si="23"/>
        <v>6.2</v>
      </c>
      <c r="E142" s="27">
        <f t="shared" si="24"/>
        <v>12.6</v>
      </c>
    </row>
    <row r="143" spans="1:5" s="27" customFormat="1" x14ac:dyDescent="0.2">
      <c r="A143" s="27">
        <v>32</v>
      </c>
      <c r="B143" s="27" t="str">
        <f t="shared" si="21"/>
        <v>Trowbridge Practice</v>
      </c>
      <c r="C143" s="27">
        <f t="shared" si="22"/>
        <v>7.9</v>
      </c>
      <c r="D143" s="27">
        <f t="shared" si="23"/>
        <v>5.0999999999999996</v>
      </c>
      <c r="E143" s="27">
        <f t="shared" si="24"/>
        <v>12.6</v>
      </c>
    </row>
    <row r="144" spans="1:5" s="27" customFormat="1" x14ac:dyDescent="0.2">
      <c r="A144" s="27">
        <v>33</v>
      </c>
      <c r="B144" s="27" t="str">
        <f t="shared" si="21"/>
        <v>Healy Medical Centre</v>
      </c>
      <c r="C144" s="27">
        <f t="shared" si="22"/>
        <v>8.6999999999999993</v>
      </c>
      <c r="D144" s="27">
        <f t="shared" si="23"/>
        <v>4.9000000000000004</v>
      </c>
      <c r="E144" s="27">
        <f t="shared" si="24"/>
        <v>12.6</v>
      </c>
    </row>
    <row r="145" spans="1:5" s="27" customFormat="1" x14ac:dyDescent="0.2">
      <c r="A145" s="27">
        <v>34</v>
      </c>
      <c r="B145" s="27" t="str">
        <f t="shared" si="21"/>
        <v>The Lea Surgery</v>
      </c>
      <c r="C145" s="27">
        <f t="shared" si="22"/>
        <v>3.9</v>
      </c>
      <c r="D145" s="27">
        <f t="shared" si="23"/>
        <v>4.9000000000000004</v>
      </c>
      <c r="E145" s="27">
        <f t="shared" si="24"/>
        <v>12.6</v>
      </c>
    </row>
    <row r="146" spans="1:5" s="27" customFormat="1" x14ac:dyDescent="0.2">
      <c r="A146" s="27">
        <v>35</v>
      </c>
      <c r="B146" s="27" t="str">
        <f t="shared" si="21"/>
        <v>Latimer Health Centre</v>
      </c>
      <c r="C146" s="27">
        <f t="shared" si="22"/>
        <v>3.7</v>
      </c>
      <c r="D146" s="27">
        <f t="shared" si="23"/>
        <v>4</v>
      </c>
      <c r="E146" s="27">
        <f t="shared" si="24"/>
        <v>12.6</v>
      </c>
    </row>
    <row r="147" spans="1:5" s="27" customFormat="1" x14ac:dyDescent="0.2">
      <c r="A147" s="27">
        <v>36</v>
      </c>
      <c r="B147" s="27" t="str">
        <f t="shared" si="21"/>
        <v>The Greenhouse Walk-in</v>
      </c>
      <c r="C147" s="27">
        <f t="shared" si="22"/>
        <v>3.8</v>
      </c>
      <c r="D147" s="27">
        <f t="shared" si="23"/>
        <v>3.8</v>
      </c>
      <c r="E147" s="27">
        <f t="shared" si="24"/>
        <v>12.6</v>
      </c>
    </row>
    <row r="148" spans="1:5" s="27" customFormat="1" x14ac:dyDescent="0.2">
      <c r="A148" s="27">
        <v>37</v>
      </c>
      <c r="B148" s="27" t="str">
        <f t="shared" si="21"/>
        <v>Rosewood Practice</v>
      </c>
      <c r="C148" s="27">
        <f t="shared" si="22"/>
        <v>5.7</v>
      </c>
      <c r="D148" s="27">
        <f t="shared" si="23"/>
        <v>3.7</v>
      </c>
      <c r="E148" s="27">
        <f>ROUND(STDEV($D$112:$D$149),1)</f>
        <v>6.5</v>
      </c>
    </row>
    <row r="149" spans="1:5" s="27" customFormat="1" x14ac:dyDescent="0.2">
      <c r="A149" s="27">
        <v>38</v>
      </c>
      <c r="B149" s="27" t="str">
        <f t="shared" si="21"/>
        <v>Kingsmead Healthcare</v>
      </c>
      <c r="C149" s="27">
        <f t="shared" si="22"/>
        <v>3.9</v>
      </c>
      <c r="D149" s="27">
        <f t="shared" si="23"/>
        <v>3.3</v>
      </c>
      <c r="E149" s="27">
        <f>ROUND(STDEV($D$112:$D$149),1)</f>
        <v>6.5</v>
      </c>
    </row>
    <row r="150" spans="1:5" s="27" customFormat="1" x14ac:dyDescent="0.2">
      <c r="A150" s="27">
        <v>39</v>
      </c>
      <c r="B150" s="27" t="str">
        <f t="shared" si="21"/>
        <v>The Clapton Surgery</v>
      </c>
      <c r="C150" s="27">
        <f t="shared" si="22"/>
        <v>1.3</v>
      </c>
      <c r="D150" s="27">
        <f t="shared" si="23"/>
        <v>0.8</v>
      </c>
      <c r="E150" s="27">
        <f>ROUND(STDEV($D$112:$D$149),1)</f>
        <v>6.5</v>
      </c>
    </row>
    <row r="151" spans="1:5" s="27" customFormat="1" x14ac:dyDescent="0.2"/>
    <row r="152" spans="1:5" s="27" customFormat="1" x14ac:dyDescent="0.2">
      <c r="B152" s="27" t="s">
        <v>102</v>
      </c>
      <c r="C152" s="27" t="str">
        <f>C7</f>
        <v>Oct-21 to Mar-22</v>
      </c>
      <c r="D152" s="27" t="str">
        <f>C8</f>
        <v>Apr-22 to Sep-22</v>
      </c>
      <c r="E152" s="27" t="s">
        <v>101</v>
      </c>
    </row>
    <row r="153" spans="1:5" s="27" customFormat="1" x14ac:dyDescent="0.2">
      <c r="A153" s="27">
        <v>1</v>
      </c>
      <c r="B153" s="27" t="str">
        <f>VLOOKUP(A153,$G$61:$K$67,3,0)</f>
        <v>Clissold Park PCN</v>
      </c>
      <c r="C153" s="27">
        <f>VLOOKUP(A153,$G$61:$K$67,4,0)</f>
        <v>14.3</v>
      </c>
      <c r="D153" s="27">
        <f t="shared" ref="D153:D159" si="25">VLOOKUP(A153,$G$61:$K$67,5,0)</f>
        <v>15.3</v>
      </c>
      <c r="E153" s="27">
        <f>$J$58</f>
        <v>12.6</v>
      </c>
    </row>
    <row r="154" spans="1:5" s="27" customFormat="1" x14ac:dyDescent="0.2">
      <c r="A154" s="27">
        <v>2</v>
      </c>
      <c r="B154" s="27" t="str">
        <f t="shared" ref="B154:B159" si="26">VLOOKUP(A154,$G$61:$K$67,3,0)</f>
        <v>Hackney Marshes PCN</v>
      </c>
      <c r="C154" s="27">
        <f t="shared" ref="C154:C159" si="27">VLOOKUP(A154,$G$61:$K$67,4,0)</f>
        <v>14.8</v>
      </c>
      <c r="D154" s="27">
        <f t="shared" si="25"/>
        <v>14.3</v>
      </c>
      <c r="E154" s="27">
        <f t="shared" ref="E154:E159" si="28">$J$58</f>
        <v>12.6</v>
      </c>
    </row>
    <row r="155" spans="1:5" s="27" customFormat="1" x14ac:dyDescent="0.2">
      <c r="A155" s="27">
        <v>3</v>
      </c>
      <c r="B155" s="27" t="str">
        <f t="shared" si="26"/>
        <v>London Fields PCN</v>
      </c>
      <c r="C155" s="27">
        <f t="shared" si="27"/>
        <v>13.7</v>
      </c>
      <c r="D155" s="27">
        <f t="shared" si="25"/>
        <v>13.9</v>
      </c>
      <c r="E155" s="27">
        <f t="shared" si="28"/>
        <v>12.6</v>
      </c>
    </row>
    <row r="156" spans="1:5" s="27" customFormat="1" x14ac:dyDescent="0.2">
      <c r="A156" s="27">
        <v>4</v>
      </c>
      <c r="B156" s="27" t="str">
        <f t="shared" si="26"/>
        <v>Woodberry Wetlands PCN</v>
      </c>
      <c r="C156" s="27">
        <f t="shared" si="27"/>
        <v>15.7</v>
      </c>
      <c r="D156" s="27">
        <f t="shared" si="25"/>
        <v>13.3</v>
      </c>
      <c r="E156" s="27">
        <f t="shared" si="28"/>
        <v>12.6</v>
      </c>
    </row>
    <row r="157" spans="1:5" s="27" customFormat="1" x14ac:dyDescent="0.2">
      <c r="A157" s="27">
        <v>5</v>
      </c>
      <c r="B157" s="27" t="str">
        <f t="shared" si="26"/>
        <v>Well Street Common</v>
      </c>
      <c r="C157" s="27">
        <f t="shared" si="27"/>
        <v>13.5</v>
      </c>
      <c r="D157" s="27">
        <f t="shared" si="25"/>
        <v>12.8</v>
      </c>
      <c r="E157" s="27">
        <f t="shared" si="28"/>
        <v>12.6</v>
      </c>
    </row>
    <row r="158" spans="1:5" s="27" customFormat="1" x14ac:dyDescent="0.2">
      <c r="A158" s="27">
        <v>6</v>
      </c>
      <c r="B158" s="27" t="str">
        <f t="shared" si="26"/>
        <v>Hackney Downs PCN</v>
      </c>
      <c r="C158" s="27">
        <f t="shared" si="27"/>
        <v>12.3</v>
      </c>
      <c r="D158" s="27">
        <f t="shared" si="25"/>
        <v>11.6</v>
      </c>
      <c r="E158" s="27">
        <f t="shared" si="28"/>
        <v>12.6</v>
      </c>
    </row>
    <row r="159" spans="1:5" s="27" customFormat="1" x14ac:dyDescent="0.2">
      <c r="A159" s="27">
        <v>7</v>
      </c>
      <c r="B159" s="27" t="str">
        <f t="shared" si="26"/>
        <v>Shoreditch Park PCN</v>
      </c>
      <c r="C159" s="27">
        <f t="shared" si="27"/>
        <v>11.6</v>
      </c>
      <c r="D159" s="27">
        <f t="shared" si="25"/>
        <v>10.199999999999999</v>
      </c>
      <c r="E159" s="27">
        <f t="shared" si="28"/>
        <v>12.6</v>
      </c>
    </row>
    <row r="160" spans="1:5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</sheetData>
  <mergeCells count="22">
    <mergeCell ref="B53:B57"/>
    <mergeCell ref="C57:D57"/>
    <mergeCell ref="B58:D58"/>
    <mergeCell ref="B31:B37"/>
    <mergeCell ref="C37:D37"/>
    <mergeCell ref="B38:B46"/>
    <mergeCell ref="C46:D46"/>
    <mergeCell ref="B47:B52"/>
    <mergeCell ref="C52:D52"/>
    <mergeCell ref="B12:B16"/>
    <mergeCell ref="C16:D16"/>
    <mergeCell ref="B17:B24"/>
    <mergeCell ref="C24:D24"/>
    <mergeCell ref="B25:B30"/>
    <mergeCell ref="C30:D30"/>
    <mergeCell ref="B1:S2"/>
    <mergeCell ref="B5:H5"/>
    <mergeCell ref="B6:C6"/>
    <mergeCell ref="L7:O7"/>
    <mergeCell ref="B10:D10"/>
    <mergeCell ref="E10:G10"/>
    <mergeCell ref="I10:K10"/>
  </mergeCells>
  <conditionalFormatting sqref="K56:K57 K37:K39">
    <cfRule type="expression" dxfId="45" priority="27" stopIfTrue="1">
      <formula>J37&gt;I37</formula>
    </cfRule>
    <cfRule type="expression" dxfId="44" priority="28" stopIfTrue="1">
      <formula>J37&lt;I37</formula>
    </cfRule>
  </conditionalFormatting>
  <conditionalFormatting sqref="K35:K36 K13:K19 K49:K55">
    <cfRule type="expression" dxfId="43" priority="45" stopIfTrue="1">
      <formula>J13&gt;I13</formula>
    </cfRule>
    <cfRule type="expression" dxfId="42" priority="46" stopIfTrue="1">
      <formula>J13&lt;I13</formula>
    </cfRule>
  </conditionalFormatting>
  <conditionalFormatting sqref="K12">
    <cfRule type="expression" dxfId="41" priority="43" stopIfTrue="1">
      <formula>J12&gt;I12</formula>
    </cfRule>
    <cfRule type="expression" dxfId="40" priority="44" stopIfTrue="1">
      <formula>J12&lt;I12</formula>
    </cfRule>
  </conditionalFormatting>
  <conditionalFormatting sqref="K20">
    <cfRule type="expression" dxfId="39" priority="41" stopIfTrue="1">
      <formula>J20&gt;I20</formula>
    </cfRule>
    <cfRule type="expression" dxfId="38" priority="42" stopIfTrue="1">
      <formula>J20&lt;I20</formula>
    </cfRule>
  </conditionalFormatting>
  <conditionalFormatting sqref="K42:K47 K21:K26 K40 K28:K33">
    <cfRule type="expression" dxfId="37" priority="39" stopIfTrue="1">
      <formula>J21&gt;I21</formula>
    </cfRule>
    <cfRule type="expression" dxfId="36" priority="40" stopIfTrue="1">
      <formula>J21&lt;I21</formula>
    </cfRule>
  </conditionalFormatting>
  <conditionalFormatting sqref="K27">
    <cfRule type="expression" dxfId="35" priority="37" stopIfTrue="1">
      <formula>J27&gt;I27</formula>
    </cfRule>
    <cfRule type="expression" dxfId="34" priority="38" stopIfTrue="1">
      <formula>J27&lt;I27</formula>
    </cfRule>
  </conditionalFormatting>
  <conditionalFormatting sqref="G12:G15">
    <cfRule type="expression" dxfId="33" priority="35" stopIfTrue="1">
      <formula>F12&gt;E12</formula>
    </cfRule>
    <cfRule type="expression" dxfId="32" priority="36" stopIfTrue="1">
      <formula>F12&lt;E12</formula>
    </cfRule>
  </conditionalFormatting>
  <conditionalFormatting sqref="K34">
    <cfRule type="expression" dxfId="31" priority="33" stopIfTrue="1">
      <formula>J34&gt;I34</formula>
    </cfRule>
    <cfRule type="expression" dxfId="30" priority="34" stopIfTrue="1">
      <formula>J34&lt;I34</formula>
    </cfRule>
  </conditionalFormatting>
  <conditionalFormatting sqref="K41">
    <cfRule type="expression" dxfId="29" priority="31" stopIfTrue="1">
      <formula>J41&gt;I41</formula>
    </cfRule>
    <cfRule type="expression" dxfId="28" priority="32" stopIfTrue="1">
      <formula>J41&lt;I41</formula>
    </cfRule>
  </conditionalFormatting>
  <conditionalFormatting sqref="K48">
    <cfRule type="expression" dxfId="27" priority="29" stopIfTrue="1">
      <formula>J48&gt;I48</formula>
    </cfRule>
    <cfRule type="expression" dxfId="26" priority="30" stopIfTrue="1">
      <formula>J48&lt;I48</formula>
    </cfRule>
  </conditionalFormatting>
  <conditionalFormatting sqref="K58">
    <cfRule type="expression" dxfId="25" priority="25" stopIfTrue="1">
      <formula>J58&gt;I58</formula>
    </cfRule>
    <cfRule type="expression" dxfId="24" priority="26" stopIfTrue="1">
      <formula>J58&lt;I58</formula>
    </cfRule>
  </conditionalFormatting>
  <conditionalFormatting sqref="G17:G20">
    <cfRule type="expression" dxfId="23" priority="23" stopIfTrue="1">
      <formula>F17&gt;E17</formula>
    </cfRule>
    <cfRule type="expression" dxfId="22" priority="24" stopIfTrue="1">
      <formula>F17&lt;E17</formula>
    </cfRule>
  </conditionalFormatting>
  <conditionalFormatting sqref="G21">
    <cfRule type="expression" dxfId="21" priority="21" stopIfTrue="1">
      <formula>F21&gt;E21</formula>
    </cfRule>
    <cfRule type="expression" dxfId="20" priority="22" stopIfTrue="1">
      <formula>F21&lt;E21</formula>
    </cfRule>
  </conditionalFormatting>
  <conditionalFormatting sqref="G22">
    <cfRule type="expression" dxfId="19" priority="19" stopIfTrue="1">
      <formula>F22&gt;E22</formula>
    </cfRule>
    <cfRule type="expression" dxfId="18" priority="20" stopIfTrue="1">
      <formula>F22&lt;E22</formula>
    </cfRule>
  </conditionalFormatting>
  <conditionalFormatting sqref="G23">
    <cfRule type="expression" dxfId="17" priority="17" stopIfTrue="1">
      <formula>F23&gt;E23</formula>
    </cfRule>
    <cfRule type="expression" dxfId="16" priority="18" stopIfTrue="1">
      <formula>F23&lt;E23</formula>
    </cfRule>
  </conditionalFormatting>
  <conditionalFormatting sqref="G25:G28">
    <cfRule type="expression" dxfId="15" priority="15" stopIfTrue="1">
      <formula>F25&gt;E25</formula>
    </cfRule>
    <cfRule type="expression" dxfId="14" priority="16" stopIfTrue="1">
      <formula>F25&lt;E25</formula>
    </cfRule>
  </conditionalFormatting>
  <conditionalFormatting sqref="G29">
    <cfRule type="expression" dxfId="13" priority="13" stopIfTrue="1">
      <formula>F29&gt;E29</formula>
    </cfRule>
    <cfRule type="expression" dxfId="12" priority="14" stopIfTrue="1">
      <formula>F29&lt;E29</formula>
    </cfRule>
  </conditionalFormatting>
  <conditionalFormatting sqref="G31:G34 G36">
    <cfRule type="expression" dxfId="11" priority="11" stopIfTrue="1">
      <formula>F31&gt;E31</formula>
    </cfRule>
    <cfRule type="expression" dxfId="10" priority="12" stopIfTrue="1">
      <formula>F31&lt;E31</formula>
    </cfRule>
  </conditionalFormatting>
  <conditionalFormatting sqref="G35">
    <cfRule type="expression" dxfId="9" priority="9" stopIfTrue="1">
      <formula>F35&gt;E35</formula>
    </cfRule>
    <cfRule type="expression" dxfId="8" priority="10" stopIfTrue="1">
      <formula>F35&lt;E35</formula>
    </cfRule>
  </conditionalFormatting>
  <conditionalFormatting sqref="G38:G41 G43:G45">
    <cfRule type="expression" dxfId="7" priority="7" stopIfTrue="1">
      <formula>F38&gt;E38</formula>
    </cfRule>
    <cfRule type="expression" dxfId="6" priority="8" stopIfTrue="1">
      <formula>F38&lt;E38</formula>
    </cfRule>
  </conditionalFormatting>
  <conditionalFormatting sqref="G42">
    <cfRule type="expression" dxfId="5" priority="5" stopIfTrue="1">
      <formula>F42&gt;E42</formula>
    </cfRule>
    <cfRule type="expression" dxfId="4" priority="6" stopIfTrue="1">
      <formula>F42&lt;E42</formula>
    </cfRule>
  </conditionalFormatting>
  <conditionalFormatting sqref="G47:G51">
    <cfRule type="expression" dxfId="3" priority="3" stopIfTrue="1">
      <formula>F47&gt;E47</formula>
    </cfRule>
    <cfRule type="expression" dxfId="2" priority="4" stopIfTrue="1">
      <formula>F47&lt;E47</formula>
    </cfRule>
  </conditionalFormatting>
  <conditionalFormatting sqref="G53:G56">
    <cfRule type="expression" dxfId="1" priority="1" stopIfTrue="1">
      <formula>F53&gt;E53</formula>
    </cfRule>
    <cfRule type="expression" dxfId="0" priority="2" stopIfTrue="1">
      <formula>F53&lt;E53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'[Practice Benchmarking Report.xlsm]A&amp;G Back'!#REF!</xm:f>
          </x14:formula1>
          <xm:sqref>L7:O7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Advice and guidance</vt:lpstr>
    </vt:vector>
  </TitlesOfParts>
  <Company>NEL 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Calveley, River - Head of Planned Care Commissioning</dc:creator>
  <cp:lastModifiedBy>Calveley, River - Head of Planned Care Commissioning</cp:lastModifiedBy>
  <dcterms:created xsi:type="dcterms:W3CDTF">2022-12-01T12:29:03Z</dcterms:created>
  <dcterms:modified xsi:type="dcterms:W3CDTF">2022-12-01T12:29:50Z</dcterms:modified>
</cp:coreProperties>
</file>